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3040" windowHeight="9192"/>
  </bookViews>
  <sheets>
    <sheet name="Projection" sheetId="2" r:id="rId1"/>
    <sheet name="Indicators" sheetId="1" r:id="rId2"/>
    <sheet name=" COVID STATISTICS" sheetId="3" r:id="rId3"/>
  </sheets>
  <definedNames>
    <definedName name="_xlnm._FilterDatabase" localSheetId="2" hidden="1">' COVID STATISTICS'!$A$4:$A$4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8" i="2" l="1"/>
  <c r="B57" i="2"/>
  <c r="C37" i="2"/>
  <c r="C36" i="2"/>
  <c r="N37" i="2"/>
  <c r="B36" i="2"/>
  <c r="B37" i="2"/>
  <c r="N36" i="2"/>
  <c r="M36" i="2"/>
  <c r="E103" i="2" l="1"/>
  <c r="E102" i="2"/>
  <c r="D103" i="2"/>
  <c r="D102" i="2"/>
  <c r="C103" i="2"/>
  <c r="C102" i="2"/>
  <c r="B102" i="2"/>
  <c r="D17" i="3"/>
  <c r="B17" i="3"/>
  <c r="B62" i="2"/>
  <c r="B63" i="2"/>
  <c r="D13" i="2"/>
  <c r="B25" i="2" s="1"/>
  <c r="I14" i="2"/>
  <c r="B33" i="2"/>
  <c r="B61" i="2" l="1"/>
  <c r="B59" i="2" l="1"/>
  <c r="B54" i="2"/>
  <c r="B53" i="2"/>
  <c r="D51" i="3"/>
  <c r="C43" i="3"/>
  <c r="B55" i="2" l="1"/>
  <c r="H40" i="2"/>
  <c r="H41" i="2" s="1"/>
  <c r="N34" i="2"/>
  <c r="O20" i="2"/>
  <c r="O13" i="2"/>
  <c r="B38" i="2" l="1"/>
  <c r="G40" i="2"/>
  <c r="H29" i="2"/>
  <c r="H30" i="2"/>
  <c r="H31" i="2"/>
  <c r="H32" i="2"/>
  <c r="H33" i="2"/>
  <c r="H34" i="2"/>
  <c r="B31" i="2" l="1"/>
  <c r="H35" i="2"/>
  <c r="H17" i="3"/>
  <c r="F17" i="3"/>
  <c r="K15" i="3"/>
  <c r="I15" i="3"/>
  <c r="D15" i="3"/>
  <c r="I20" i="2" l="1"/>
  <c r="I21" i="2"/>
  <c r="I22" i="2"/>
  <c r="I23" i="2"/>
  <c r="I19" i="2"/>
  <c r="N27" i="2"/>
  <c r="M27" i="2"/>
  <c r="N26" i="2"/>
  <c r="M26" i="2"/>
  <c r="N25" i="2"/>
  <c r="M25" i="2"/>
  <c r="N24" i="2"/>
  <c r="N28" i="2" s="1"/>
  <c r="M24" i="2"/>
  <c r="B30" i="2" l="1"/>
  <c r="I24" i="2"/>
  <c r="B29" i="2" s="1"/>
  <c r="B32" i="2"/>
  <c r="B45" i="2"/>
  <c r="C29" i="2" s="1"/>
  <c r="I6" i="3"/>
  <c r="K6" i="3"/>
  <c r="H7" i="3"/>
  <c r="I7" i="3"/>
  <c r="K7" i="3"/>
  <c r="H8" i="3"/>
  <c r="I8" i="3"/>
  <c r="H9" i="3"/>
  <c r="I9" i="3"/>
  <c r="K9" i="3"/>
  <c r="H10" i="3"/>
  <c r="I10" i="3"/>
  <c r="H11" i="3"/>
  <c r="I11" i="3"/>
  <c r="H12" i="3"/>
  <c r="I12" i="3"/>
  <c r="K12" i="3"/>
  <c r="H13" i="3"/>
  <c r="I13" i="3"/>
  <c r="J14" i="3"/>
  <c r="J15" i="3" s="1"/>
  <c r="K14" i="3"/>
  <c r="B15" i="3"/>
  <c r="C15" i="3"/>
  <c r="E15" i="3"/>
  <c r="F15" i="3"/>
  <c r="G15" i="3"/>
  <c r="B30" i="3"/>
  <c r="C30" i="3"/>
  <c r="D30" i="3"/>
  <c r="E30" i="3"/>
  <c r="F30" i="3"/>
  <c r="G30" i="3"/>
  <c r="H30" i="3"/>
  <c r="I30" i="3"/>
  <c r="J30" i="3"/>
  <c r="K30" i="3"/>
  <c r="L30" i="3"/>
  <c r="M30" i="3"/>
  <c r="N30" i="3"/>
  <c r="D36" i="3"/>
  <c r="D39" i="3" s="1"/>
  <c r="J36" i="3"/>
  <c r="L36" i="3"/>
  <c r="D37" i="3"/>
  <c r="N37" i="3" s="1"/>
  <c r="J37" i="3"/>
  <c r="J39" i="3" s="1"/>
  <c r="L37" i="3"/>
  <c r="L39" i="3" s="1"/>
  <c r="D38" i="3"/>
  <c r="E38" i="3"/>
  <c r="E39" i="3" s="1"/>
  <c r="I38" i="3"/>
  <c r="O38" i="3" s="1"/>
  <c r="O39" i="3" s="1"/>
  <c r="J38" i="3"/>
  <c r="L38" i="3"/>
  <c r="M38" i="3"/>
  <c r="B39" i="3"/>
  <c r="C39" i="3"/>
  <c r="F39" i="3"/>
  <c r="G39" i="3"/>
  <c r="I39" i="3"/>
  <c r="K39" i="3"/>
  <c r="M39" i="3"/>
  <c r="C30" i="2" l="1"/>
  <c r="H39" i="3"/>
  <c r="N38" i="3"/>
  <c r="E42" i="3" s="1"/>
  <c r="N36" i="3"/>
  <c r="C42" i="3"/>
  <c r="C44" i="3" s="1"/>
  <c r="G42" i="3" l="1"/>
  <c r="N39" i="3"/>
</calcChain>
</file>

<file path=xl/sharedStrings.xml><?xml version="1.0" encoding="utf-8"?>
<sst xmlns="http://schemas.openxmlformats.org/spreadsheetml/2006/main" count="272" uniqueCount="103">
  <si>
    <t>Projections for 2021 WB/AIIB/KfW</t>
  </si>
  <si>
    <t>8. Registered households in database with a score between 65 000 – 100 001 and households with a score less than 100001 with 3 or more children</t>
  </si>
  <si>
    <t>Value</t>
  </si>
  <si>
    <t>Out of which 0 – 100,001</t>
  </si>
  <si>
    <t>Out of which 65,000 – 100,001</t>
  </si>
  <si>
    <t>Date</t>
  </si>
  <si>
    <t>Baseline</t>
  </si>
  <si>
    <t>Actual (Previous)</t>
  </si>
  <si>
    <t>Actual (Current)</t>
  </si>
  <si>
    <t>End Target</t>
  </si>
  <si>
    <t>9. Number of formal private sector workers laid off because of COVID-related lock down  who receive temporary unemployment benefits, by gender</t>
  </si>
  <si>
    <t>Out of which women</t>
  </si>
  <si>
    <t>Out of which men</t>
  </si>
  <si>
    <t>10. Number of TSA beneficiary households</t>
  </si>
  <si>
    <t xml:space="preserve">12. Number of informal workers who receive the one-off benefit , by gender </t>
  </si>
  <si>
    <t>Indicators</t>
  </si>
  <si>
    <t>November</t>
  </si>
  <si>
    <t>December</t>
  </si>
  <si>
    <t>Regular TSA</t>
  </si>
  <si>
    <t>Scenario 1</t>
  </si>
  <si>
    <t>Scenario 2</t>
  </si>
  <si>
    <t>January</t>
  </si>
  <si>
    <t>February</t>
  </si>
  <si>
    <t>Families</t>
  </si>
  <si>
    <t xml:space="preserve">Persons </t>
  </si>
  <si>
    <t xml:space="preserve"> Amount </t>
  </si>
  <si>
    <t>65,000-100,001</t>
  </si>
  <si>
    <t>World Bank</t>
  </si>
  <si>
    <t>WB Resource</t>
  </si>
  <si>
    <t>Loan</t>
  </si>
  <si>
    <t>Grant</t>
  </si>
  <si>
    <t>Total</t>
  </si>
  <si>
    <t>exchange rate</t>
  </si>
  <si>
    <t>Pending</t>
  </si>
  <si>
    <t>To be disbursed</t>
  </si>
  <si>
    <t>To be submitted</t>
  </si>
  <si>
    <t>Resource 
for 2021</t>
  </si>
  <si>
    <t>To be requested in 2021 (amount 2020)</t>
  </si>
  <si>
    <t>Resource for 2021</t>
  </si>
  <si>
    <t>Resource in 2020</t>
  </si>
  <si>
    <t>WB/AIIB/KfW</t>
  </si>
  <si>
    <t>KfW</t>
  </si>
  <si>
    <t>WB/AIIB</t>
  </si>
  <si>
    <t>KFW</t>
  </si>
  <si>
    <t>N/A</t>
  </si>
  <si>
    <t>AIIB</t>
  </si>
  <si>
    <t>WB</t>
  </si>
  <si>
    <t>To be disbursed/Resources GEL</t>
  </si>
  <si>
    <t>To be disbursed/Resources EUR</t>
  </si>
  <si>
    <t>To be submitted GEL</t>
  </si>
  <si>
    <t>Disbursed GEL</t>
  </si>
  <si>
    <t>Disbursed EUR</t>
  </si>
  <si>
    <t>Amount GEL</t>
  </si>
  <si>
    <t>Amount EUR</t>
  </si>
  <si>
    <t>Donor</t>
  </si>
  <si>
    <t>Resources for Component 2</t>
  </si>
  <si>
    <t>August</t>
  </si>
  <si>
    <t>July</t>
  </si>
  <si>
    <t>June</t>
  </si>
  <si>
    <t>May</t>
  </si>
  <si>
    <t>April</t>
  </si>
  <si>
    <t>March</t>
  </si>
  <si>
    <t>Amount</t>
  </si>
  <si>
    <t>Individuals</t>
  </si>
  <si>
    <t>Persons</t>
  </si>
  <si>
    <t>4. Self - employed (one-off benefit 300 GEL)</t>
  </si>
  <si>
    <t>3. Unemployment benefit
(200 GEL for 6 months)</t>
  </si>
  <si>
    <t xml:space="preserve">3. Households with a rating score of 100,001 or less with 3 children or more, up to 16 years old </t>
  </si>
  <si>
    <t xml:space="preserve">2. Households with score 65,000 to 100,001 </t>
  </si>
  <si>
    <t>1. Households with score 0 to 65,000</t>
  </si>
  <si>
    <t>Month</t>
  </si>
  <si>
    <t>SESA</t>
  </si>
  <si>
    <t>SSA</t>
  </si>
  <si>
    <t>October</t>
  </si>
  <si>
    <t>September</t>
  </si>
  <si>
    <t xml:space="preserve">2. Households with a rating score of 100,001 or less with 3 children or more, up to 16 years old </t>
  </si>
  <si>
    <t xml:space="preserve">1. Households with score 65,000 to 100,001 </t>
  </si>
  <si>
    <t>65,000-100,001 3 or more children</t>
  </si>
  <si>
    <t>Indicators WB/AIIB/KfW</t>
  </si>
  <si>
    <t>Unemployment benefit (200 GEL for 6 months)</t>
  </si>
  <si>
    <t>Self - employed (one-off benefit 300 GEL)</t>
  </si>
  <si>
    <t xml:space="preserve">June </t>
  </si>
  <si>
    <t>wb</t>
  </si>
  <si>
    <t>Component 2 (WB/AIIB) + KfW</t>
  </si>
  <si>
    <t>Second wave</t>
  </si>
  <si>
    <t>WB Total need</t>
  </si>
  <si>
    <t>Total need 1</t>
  </si>
  <si>
    <t>KfW (loan)</t>
  </si>
  <si>
    <t>KfW (grant)</t>
  </si>
  <si>
    <t>For 2020</t>
  </si>
  <si>
    <t>WB Total</t>
  </si>
  <si>
    <t>KfW Total</t>
  </si>
  <si>
    <t>KfW Disbursed</t>
  </si>
  <si>
    <t>Total paid by GoG</t>
  </si>
  <si>
    <t>Scenario 3</t>
  </si>
  <si>
    <t>WB Disbursed</t>
  </si>
  <si>
    <t xml:space="preserve">WB </t>
  </si>
  <si>
    <t xml:space="preserve">KfW </t>
  </si>
  <si>
    <t>Total need</t>
  </si>
  <si>
    <t>Additional need</t>
  </si>
  <si>
    <t>Existing resource</t>
  </si>
  <si>
    <t>KfW Resource</t>
  </si>
  <si>
    <r>
      <t xml:space="preserve">Scenario 2 </t>
    </r>
    <r>
      <rPr>
        <b/>
        <sz val="12"/>
        <color rgb="FFFF0000"/>
        <rFont val="Calibri"/>
        <family val="2"/>
        <scheme val="minor"/>
      </rPr>
      <t>Second wave</t>
    </r>
    <r>
      <rPr>
        <b/>
        <sz val="12"/>
        <rFont val="Calibri"/>
        <family val="2"/>
        <scheme val="minor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</si>
</sst>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(* #,##0.00_);_(* \(#,##0.00\);_(* &quot;-&quot;??_);_(@_)"/>
    <numFmt numFmtId="164" formatCode="_(* #,##0_);_(* \(#,##0\);_(* &quot;-&quot;??_);_(@_)"/>
    <numFmt numFmtId="165" formatCode="[$-409]d\-mmm\-yy;@"/>
    <numFmt numFmtId="166" formatCode="#,##0\ [$₾-437];\-#,##0\ [$₾-437]"/>
    <numFmt numFmtId="167" formatCode="[$GEL]\ #,##0_);\([$GEL]\ #,##0\)"/>
    <numFmt numFmtId="168" formatCode="[$EUR]\ #,##0"/>
    <numFmt numFmtId="169" formatCode="0.0%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rgb="FFFF0000"/>
      <name val="Calibri"/>
      <family val="2"/>
    </font>
    <font>
      <b/>
      <sz val="10"/>
      <name val="Calibri"/>
      <family val="2"/>
    </font>
    <font>
      <b/>
      <sz val="10"/>
      <color rgb="FF000000"/>
      <name val="Calibri"/>
      <family val="2"/>
      <scheme val="minor"/>
    </font>
    <font>
      <sz val="1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2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</fills>
  <borders count="45">
    <border>
      <left/>
      <right/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Dashed">
        <color indexed="64"/>
      </right>
      <top style="hair">
        <color indexed="64"/>
      </top>
      <bottom style="medium">
        <color indexed="64"/>
      </bottom>
      <diagonal/>
    </border>
    <border>
      <left style="mediumDashed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Dashed">
        <color indexed="64"/>
      </right>
      <top style="hair">
        <color indexed="64"/>
      </top>
      <bottom style="hair">
        <color indexed="64"/>
      </bottom>
      <diagonal/>
    </border>
    <border>
      <left style="mediumDashed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Dashed">
        <color indexed="64"/>
      </right>
      <top style="medium">
        <color indexed="64"/>
      </top>
      <bottom style="hair">
        <color indexed="64"/>
      </bottom>
      <diagonal/>
    </border>
    <border>
      <left style="mediumDashed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mediumDashed">
        <color indexed="64"/>
      </right>
      <top style="medium">
        <color indexed="64"/>
      </top>
      <bottom style="hair">
        <color indexed="64"/>
      </bottom>
      <diagonal/>
    </border>
    <border>
      <left style="mediumDashed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double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double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9" fontId="1" fillId="0" borderId="0" applyFont="0" applyFill="0" applyBorder="0" applyAlignment="0" applyProtection="0"/>
  </cellStyleXfs>
  <cellXfs count="245">
    <xf numFmtId="0" fontId="0" fillId="0" borderId="0" xfId="0"/>
    <xf numFmtId="3" fontId="0" fillId="0" borderId="0" xfId="0" applyNumberFormat="1"/>
    <xf numFmtId="0" fontId="4" fillId="0" borderId="0" xfId="0" applyFont="1"/>
    <xf numFmtId="14" fontId="0" fillId="0" borderId="0" xfId="0" applyNumberFormat="1"/>
    <xf numFmtId="0" fontId="4" fillId="0" borderId="0" xfId="0" applyFont="1" applyAlignment="1">
      <alignment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left" vertical="center" wrapText="1"/>
    </xf>
    <xf numFmtId="164" fontId="0" fillId="4" borderId="3" xfId="1" applyNumberFormat="1" applyFont="1" applyFill="1" applyBorder="1" applyAlignment="1">
      <alignment horizontal="center" vertical="center" wrapText="1"/>
    </xf>
    <xf numFmtId="14" fontId="0" fillId="0" borderId="3" xfId="0" applyNumberFormat="1" applyBorder="1" applyAlignment="1">
      <alignment horizontal="left" vertical="center" wrapText="1"/>
    </xf>
    <xf numFmtId="165" fontId="0" fillId="0" borderId="3" xfId="0" applyNumberFormat="1" applyBorder="1" applyAlignment="1">
      <alignment horizontal="right" vertical="center" wrapText="1"/>
    </xf>
    <xf numFmtId="164" fontId="0" fillId="9" borderId="3" xfId="1" applyNumberFormat="1" applyFont="1" applyFill="1" applyBorder="1" applyAlignment="1">
      <alignment horizontal="center" vertical="center" wrapText="1"/>
    </xf>
    <xf numFmtId="0" fontId="6" fillId="0" borderId="0" xfId="0" applyFont="1"/>
    <xf numFmtId="0" fontId="8" fillId="10" borderId="0" xfId="0" applyFont="1" applyFill="1" applyAlignment="1">
      <alignment horizontal="center" vertical="center"/>
    </xf>
    <xf numFmtId="0" fontId="8" fillId="10" borderId="0" xfId="0" applyFont="1" applyFill="1" applyAlignment="1">
      <alignment horizontal="center" vertical="center" wrapText="1"/>
    </xf>
    <xf numFmtId="0" fontId="2" fillId="10" borderId="0" xfId="0" applyFont="1" applyFill="1"/>
    <xf numFmtId="0" fontId="0" fillId="0" borderId="0" xfId="0" applyAlignment="1"/>
    <xf numFmtId="164" fontId="0" fillId="0" borderId="0" xfId="1" applyNumberFormat="1" applyFont="1" applyAlignment="1"/>
    <xf numFmtId="166" fontId="0" fillId="0" borderId="0" xfId="1" applyNumberFormat="1" applyFont="1" applyAlignment="1"/>
    <xf numFmtId="164" fontId="9" fillId="0" borderId="3" xfId="1" applyNumberFormat="1" applyFont="1" applyFill="1" applyBorder="1" applyAlignment="1">
      <alignment horizontal="right" vertical="center"/>
    </xf>
    <xf numFmtId="164" fontId="9" fillId="0" borderId="7" xfId="1" applyNumberFormat="1" applyFont="1" applyFill="1" applyBorder="1" applyAlignment="1">
      <alignment horizontal="right" vertical="center"/>
    </xf>
    <xf numFmtId="0" fontId="4" fillId="0" borderId="3" xfId="0" applyFont="1" applyBorder="1"/>
    <xf numFmtId="0" fontId="4" fillId="0" borderId="3" xfId="0" applyFont="1" applyBorder="1" applyAlignment="1">
      <alignment horizontal="center" vertical="center"/>
    </xf>
    <xf numFmtId="0" fontId="0" fillId="0" borderId="3" xfId="0" applyBorder="1"/>
    <xf numFmtId="164" fontId="0" fillId="0" borderId="3" xfId="1" applyNumberFormat="1" applyFont="1" applyBorder="1" applyAlignment="1"/>
    <xf numFmtId="166" fontId="0" fillId="0" borderId="3" xfId="1" applyNumberFormat="1" applyFont="1" applyBorder="1" applyAlignment="1"/>
    <xf numFmtId="0" fontId="0" fillId="0" borderId="3" xfId="0" applyBorder="1" applyAlignment="1"/>
    <xf numFmtId="166" fontId="2" fillId="10" borderId="0" xfId="0" applyNumberFormat="1" applyFont="1" applyFill="1"/>
    <xf numFmtId="43" fontId="0" fillId="0" borderId="0" xfId="0" applyNumberFormat="1"/>
    <xf numFmtId="3" fontId="9" fillId="0" borderId="0" xfId="0" applyNumberFormat="1" applyFont="1"/>
    <xf numFmtId="0" fontId="9" fillId="0" borderId="0" xfId="0" applyFont="1"/>
    <xf numFmtId="0" fontId="3" fillId="0" borderId="0" xfId="0" applyFont="1"/>
    <xf numFmtId="3" fontId="10" fillId="0" borderId="0" xfId="0" applyNumberFormat="1" applyFont="1"/>
    <xf numFmtId="3" fontId="11" fillId="15" borderId="0" xfId="0" applyNumberFormat="1" applyFont="1" applyFill="1" applyBorder="1"/>
    <xf numFmtId="164" fontId="12" fillId="3" borderId="0" xfId="3" applyNumberFormat="1" applyFont="1" applyBorder="1"/>
    <xf numFmtId="164" fontId="12" fillId="2" borderId="0" xfId="2" applyNumberFormat="1" applyFont="1" applyBorder="1"/>
    <xf numFmtId="0" fontId="13" fillId="0" borderId="0" xfId="0" applyFont="1"/>
    <xf numFmtId="164" fontId="13" fillId="0" borderId="0" xfId="0" applyNumberFormat="1" applyFont="1"/>
    <xf numFmtId="3" fontId="13" fillId="0" borderId="0" xfId="0" applyNumberFormat="1" applyFont="1"/>
    <xf numFmtId="0" fontId="13" fillId="0" borderId="0" xfId="0" applyFont="1" applyAlignment="1">
      <alignment horizontal="right"/>
    </xf>
    <xf numFmtId="164" fontId="13" fillId="0" borderId="10" xfId="0" applyNumberFormat="1" applyFont="1" applyBorder="1"/>
    <xf numFmtId="164" fontId="13" fillId="0" borderId="11" xfId="0" applyNumberFormat="1" applyFont="1" applyBorder="1"/>
    <xf numFmtId="43" fontId="13" fillId="0" borderId="11" xfId="0" applyNumberFormat="1" applyFont="1" applyBorder="1"/>
    <xf numFmtId="164" fontId="14" fillId="0" borderId="10" xfId="0" applyNumberFormat="1" applyFont="1" applyBorder="1" applyAlignment="1">
      <alignment horizontal="right" vertical="center"/>
    </xf>
    <xf numFmtId="164" fontId="4" fillId="0" borderId="0" xfId="0" applyNumberFormat="1" applyFont="1" applyBorder="1" applyAlignment="1">
      <alignment horizontal="right" vertical="center" wrapText="1"/>
    </xf>
    <xf numFmtId="0" fontId="15" fillId="0" borderId="0" xfId="0" applyFont="1"/>
    <xf numFmtId="164" fontId="15" fillId="0" borderId="0" xfId="0" applyNumberFormat="1" applyFont="1"/>
    <xf numFmtId="164" fontId="15" fillId="0" borderId="10" xfId="0" applyNumberFormat="1" applyFont="1" applyBorder="1"/>
    <xf numFmtId="164" fontId="15" fillId="0" borderId="11" xfId="0" applyNumberFormat="1" applyFont="1" applyBorder="1"/>
    <xf numFmtId="0" fontId="15" fillId="0" borderId="10" xfId="0" applyFont="1" applyBorder="1"/>
    <xf numFmtId="0" fontId="15" fillId="0" borderId="11" xfId="0" applyFont="1" applyBorder="1"/>
    <xf numFmtId="164" fontId="4" fillId="16" borderId="10" xfId="0" applyNumberFormat="1" applyFont="1" applyFill="1" applyBorder="1" applyAlignment="1">
      <alignment horizontal="right" vertical="center"/>
    </xf>
    <xf numFmtId="0" fontId="15" fillId="0" borderId="0" xfId="0" applyFont="1" applyAlignment="1">
      <alignment horizontal="right"/>
    </xf>
    <xf numFmtId="164" fontId="4" fillId="0" borderId="10" xfId="0" applyNumberFormat="1" applyFont="1" applyBorder="1" applyAlignment="1">
      <alignment horizontal="right" vertical="center"/>
    </xf>
    <xf numFmtId="164" fontId="4" fillId="0" borderId="11" xfId="0" applyNumberFormat="1" applyFont="1" applyBorder="1" applyAlignment="1">
      <alignment horizontal="right" vertical="center" wrapText="1"/>
    </xf>
    <xf numFmtId="164" fontId="4" fillId="0" borderId="0" xfId="0" applyNumberFormat="1" applyFont="1" applyBorder="1" applyAlignment="1">
      <alignment horizontal="right" vertical="center"/>
    </xf>
    <xf numFmtId="0" fontId="17" fillId="0" borderId="0" xfId="0" applyFont="1" applyAlignment="1">
      <alignment vertical="center"/>
    </xf>
    <xf numFmtId="167" fontId="17" fillId="0" borderId="0" xfId="0" applyNumberFormat="1" applyFont="1" applyAlignment="1">
      <alignment vertical="center"/>
    </xf>
    <xf numFmtId="168" fontId="17" fillId="0" borderId="0" xfId="0" applyNumberFormat="1" applyFont="1" applyAlignment="1">
      <alignment vertical="center"/>
    </xf>
    <xf numFmtId="0" fontId="17" fillId="0" borderId="0" xfId="0" applyFont="1" applyAlignment="1">
      <alignment horizontal="right" vertical="center"/>
    </xf>
    <xf numFmtId="0" fontId="18" fillId="0" borderId="0" xfId="0" applyFont="1"/>
    <xf numFmtId="3" fontId="18" fillId="0" borderId="0" xfId="0" applyNumberFormat="1" applyFont="1"/>
    <xf numFmtId="164" fontId="5" fillId="3" borderId="12" xfId="3" applyNumberFormat="1" applyBorder="1"/>
    <xf numFmtId="164" fontId="5" fillId="3" borderId="13" xfId="3" applyNumberFormat="1" applyBorder="1"/>
    <xf numFmtId="164" fontId="5" fillId="3" borderId="14" xfId="3" applyNumberFormat="1" applyBorder="1"/>
    <xf numFmtId="164" fontId="5" fillId="3" borderId="15" xfId="3" applyNumberFormat="1" applyBorder="1"/>
    <xf numFmtId="164" fontId="19" fillId="0" borderId="14" xfId="1" applyNumberFormat="1" applyFont="1" applyFill="1" applyBorder="1"/>
    <xf numFmtId="164" fontId="5" fillId="2" borderId="15" xfId="2" applyNumberFormat="1" applyBorder="1"/>
    <xf numFmtId="164" fontId="19" fillId="5" borderId="14" xfId="1" applyNumberFormat="1" applyFont="1" applyFill="1" applyBorder="1"/>
    <xf numFmtId="164" fontId="19" fillId="0" borderId="13" xfId="1" applyNumberFormat="1" applyFont="1" applyFill="1" applyBorder="1"/>
    <xf numFmtId="164" fontId="19" fillId="0" borderId="15" xfId="1" applyNumberFormat="1" applyFont="1" applyFill="1" applyBorder="1"/>
    <xf numFmtId="164" fontId="19" fillId="0" borderId="16" xfId="1" applyNumberFormat="1" applyFont="1" applyFill="1" applyBorder="1"/>
    <xf numFmtId="3" fontId="2" fillId="5" borderId="17" xfId="0" applyNumberFormat="1" applyFont="1" applyFill="1" applyBorder="1" applyAlignment="1">
      <alignment horizontal="center"/>
    </xf>
    <xf numFmtId="164" fontId="19" fillId="0" borderId="18" xfId="1" applyNumberFormat="1" applyFont="1" applyFill="1" applyBorder="1" applyAlignment="1">
      <alignment horizontal="right"/>
    </xf>
    <xf numFmtId="164" fontId="5" fillId="3" borderId="2" xfId="3" applyNumberFormat="1" applyBorder="1"/>
    <xf numFmtId="164" fontId="19" fillId="0" borderId="19" xfId="1" applyNumberFormat="1" applyFont="1" applyFill="1" applyBorder="1" applyAlignment="1">
      <alignment horizontal="right"/>
    </xf>
    <xf numFmtId="164" fontId="5" fillId="3" borderId="20" xfId="3" applyNumberFormat="1" applyBorder="1"/>
    <xf numFmtId="164" fontId="19" fillId="0" borderId="20" xfId="1" applyNumberFormat="1" applyFont="1" applyFill="1" applyBorder="1"/>
    <xf numFmtId="164" fontId="19" fillId="0" borderId="2" xfId="1" applyNumberFormat="1" applyFont="1" applyFill="1" applyBorder="1"/>
    <xf numFmtId="164" fontId="19" fillId="0" borderId="19" xfId="1" applyNumberFormat="1" applyFont="1" applyFill="1" applyBorder="1"/>
    <xf numFmtId="164" fontId="19" fillId="0" borderId="3" xfId="1" applyNumberFormat="1" applyFont="1" applyFill="1" applyBorder="1" applyAlignment="1">
      <alignment horizontal="right" vertical="center"/>
    </xf>
    <xf numFmtId="3" fontId="2" fillId="12" borderId="21" xfId="0" applyNumberFormat="1" applyFont="1" applyFill="1" applyBorder="1" applyAlignment="1">
      <alignment horizontal="center"/>
    </xf>
    <xf numFmtId="3" fontId="2" fillId="6" borderId="21" xfId="0" applyNumberFormat="1" applyFont="1" applyFill="1" applyBorder="1" applyAlignment="1">
      <alignment horizontal="center"/>
    </xf>
    <xf numFmtId="0" fontId="7" fillId="0" borderId="18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3" fontId="20" fillId="0" borderId="0" xfId="0" applyNumberFormat="1" applyFont="1" applyFill="1" applyBorder="1" applyAlignment="1">
      <alignment vertical="center"/>
    </xf>
    <xf numFmtId="164" fontId="0" fillId="0" borderId="0" xfId="1" applyNumberFormat="1" applyFont="1"/>
    <xf numFmtId="43" fontId="17" fillId="0" borderId="0" xfId="0" applyNumberFormat="1" applyFont="1" applyFill="1" applyBorder="1"/>
    <xf numFmtId="164" fontId="17" fillId="0" borderId="0" xfId="0" applyNumberFormat="1" applyFont="1" applyBorder="1"/>
    <xf numFmtId="3" fontId="21" fillId="0" borderId="0" xfId="0" applyNumberFormat="1" applyFont="1" applyFill="1" applyBorder="1" applyAlignment="1">
      <alignment horizontal="right" vertical="center"/>
    </xf>
    <xf numFmtId="164" fontId="9" fillId="0" borderId="0" xfId="1" applyNumberFormat="1" applyFont="1" applyBorder="1" applyAlignment="1">
      <alignment horizontal="right" vertical="center"/>
    </xf>
    <xf numFmtId="3" fontId="17" fillId="0" borderId="0" xfId="0" applyNumberFormat="1" applyFont="1" applyAlignment="1">
      <alignment horizontal="right" vertical="center"/>
    </xf>
    <xf numFmtId="3" fontId="22" fillId="0" borderId="0" xfId="0" applyNumberFormat="1" applyFont="1" applyAlignment="1">
      <alignment horizontal="right" vertical="center"/>
    </xf>
    <xf numFmtId="164" fontId="0" fillId="0" borderId="0" xfId="0" applyNumberFormat="1"/>
    <xf numFmtId="164" fontId="9" fillId="0" borderId="2" xfId="1" applyNumberFormat="1" applyFont="1" applyFill="1" applyBorder="1" applyAlignment="1">
      <alignment horizontal="right" vertical="center"/>
    </xf>
    <xf numFmtId="0" fontId="9" fillId="0" borderId="32" xfId="0" applyFont="1" applyBorder="1" applyAlignment="1">
      <alignment horizontal="center" vertical="center" wrapText="1"/>
    </xf>
    <xf numFmtId="3" fontId="23" fillId="0" borderId="32" xfId="0" applyNumberFormat="1" applyFont="1" applyFill="1" applyBorder="1" applyAlignment="1">
      <alignment horizontal="center" vertical="center"/>
    </xf>
    <xf numFmtId="3" fontId="9" fillId="0" borderId="3" xfId="0" applyNumberFormat="1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3" fontId="9" fillId="0" borderId="7" xfId="0" applyNumberFormat="1" applyFont="1" applyBorder="1" applyAlignment="1">
      <alignment horizontal="center" vertical="center" wrapText="1"/>
    </xf>
    <xf numFmtId="0" fontId="25" fillId="0" borderId="0" xfId="0" applyFont="1" applyAlignment="1">
      <alignment horizontal="left"/>
    </xf>
    <xf numFmtId="164" fontId="9" fillId="16" borderId="3" xfId="1" applyNumberFormat="1" applyFont="1" applyFill="1" applyBorder="1" applyAlignment="1">
      <alignment horizontal="right" vertical="center"/>
    </xf>
    <xf numFmtId="164" fontId="9" fillId="0" borderId="3" xfId="0" applyNumberFormat="1" applyFont="1" applyFill="1" applyBorder="1" applyAlignment="1">
      <alignment horizontal="right" vertical="center"/>
    </xf>
    <xf numFmtId="164" fontId="5" fillId="2" borderId="40" xfId="2" applyNumberFormat="1" applyBorder="1" applyAlignment="1">
      <alignment horizontal="right" vertical="center"/>
    </xf>
    <xf numFmtId="164" fontId="9" fillId="0" borderId="2" xfId="1" applyNumberFormat="1" applyFont="1" applyBorder="1" applyAlignment="1">
      <alignment horizontal="right" vertical="center"/>
    </xf>
    <xf numFmtId="164" fontId="9" fillId="0" borderId="7" xfId="1" applyNumberFormat="1" applyFont="1" applyBorder="1" applyAlignment="1">
      <alignment horizontal="right" vertical="center"/>
    </xf>
    <xf numFmtId="164" fontId="9" fillId="0" borderId="3" xfId="1" applyNumberFormat="1" applyFont="1" applyBorder="1" applyAlignment="1">
      <alignment horizontal="right" vertical="center"/>
    </xf>
    <xf numFmtId="0" fontId="9" fillId="0" borderId="32" xfId="0" applyFont="1" applyBorder="1" applyAlignment="1">
      <alignment horizontal="center"/>
    </xf>
    <xf numFmtId="3" fontId="5" fillId="2" borderId="3" xfId="2" applyNumberFormat="1" applyBorder="1" applyAlignment="1">
      <alignment horizontal="right" vertical="center"/>
    </xf>
    <xf numFmtId="164" fontId="19" fillId="5" borderId="7" xfId="1" applyNumberFormat="1" applyFont="1" applyFill="1" applyBorder="1" applyAlignment="1">
      <alignment horizontal="right" vertical="center"/>
    </xf>
    <xf numFmtId="164" fontId="19" fillId="16" borderId="3" xfId="1" applyNumberFormat="1" applyFont="1" applyFill="1" applyBorder="1" applyAlignment="1">
      <alignment horizontal="right" vertical="center"/>
    </xf>
    <xf numFmtId="164" fontId="19" fillId="0" borderId="2" xfId="1" applyNumberFormat="1" applyFont="1" applyFill="1" applyBorder="1" applyAlignment="1">
      <alignment horizontal="right" vertical="center"/>
    </xf>
    <xf numFmtId="17" fontId="0" fillId="0" borderId="0" xfId="0" applyNumberFormat="1" applyAlignment="1">
      <alignment horizontal="left"/>
    </xf>
    <xf numFmtId="43" fontId="19" fillId="0" borderId="3" xfId="1" applyFont="1" applyFill="1" applyBorder="1" applyAlignment="1">
      <alignment horizontal="right" vertical="center"/>
    </xf>
    <xf numFmtId="164" fontId="19" fillId="0" borderId="3" xfId="0" applyNumberFormat="1" applyFont="1" applyFill="1" applyBorder="1" applyAlignment="1">
      <alignment horizontal="right" vertical="center"/>
    </xf>
    <xf numFmtId="3" fontId="23" fillId="16" borderId="3" xfId="0" applyNumberFormat="1" applyFont="1" applyFill="1" applyBorder="1" applyAlignment="1">
      <alignment horizontal="right" vertical="center"/>
    </xf>
    <xf numFmtId="3" fontId="23" fillId="0" borderId="2" xfId="0" applyNumberFormat="1" applyFont="1" applyFill="1" applyBorder="1" applyAlignment="1">
      <alignment horizontal="right" vertical="center"/>
    </xf>
    <xf numFmtId="164" fontId="19" fillId="7" borderId="3" xfId="1" applyNumberFormat="1" applyFont="1" applyFill="1" applyBorder="1" applyAlignment="1">
      <alignment horizontal="right" vertical="center"/>
    </xf>
    <xf numFmtId="3" fontId="23" fillId="7" borderId="3" xfId="0" applyNumberFormat="1" applyFont="1" applyFill="1" applyBorder="1" applyAlignment="1">
      <alignment horizontal="right" vertical="center"/>
    </xf>
    <xf numFmtId="3" fontId="23" fillId="7" borderId="2" xfId="0" applyNumberFormat="1" applyFont="1" applyFill="1" applyBorder="1" applyAlignment="1">
      <alignment horizontal="right" vertical="center"/>
    </xf>
    <xf numFmtId="164" fontId="19" fillId="16" borderId="7" xfId="1" applyNumberFormat="1" applyFont="1" applyFill="1" applyBorder="1" applyAlignment="1">
      <alignment horizontal="right" vertical="center"/>
    </xf>
    <xf numFmtId="3" fontId="23" fillId="16" borderId="7" xfId="0" applyNumberFormat="1" applyFont="1" applyFill="1" applyBorder="1" applyAlignment="1">
      <alignment horizontal="right" vertical="center"/>
    </xf>
    <xf numFmtId="3" fontId="23" fillId="0" borderId="3" xfId="0" applyNumberFormat="1" applyFont="1" applyFill="1" applyBorder="1" applyAlignment="1">
      <alignment horizontal="right" vertical="center"/>
    </xf>
    <xf numFmtId="3" fontId="23" fillId="7" borderId="7" xfId="0" applyNumberFormat="1" applyFont="1" applyFill="1" applyBorder="1" applyAlignment="1">
      <alignment horizontal="right" vertical="center"/>
    </xf>
    <xf numFmtId="0" fontId="14" fillId="0" borderId="0" xfId="0" applyFont="1"/>
    <xf numFmtId="166" fontId="0" fillId="0" borderId="0" xfId="0" applyNumberFormat="1"/>
    <xf numFmtId="0" fontId="0" fillId="17" borderId="0" xfId="0" applyFill="1" applyAlignment="1">
      <alignment horizontal="center"/>
    </xf>
    <xf numFmtId="0" fontId="7" fillId="0" borderId="3" xfId="0" applyFont="1" applyBorder="1"/>
    <xf numFmtId="0" fontId="18" fillId="0" borderId="3" xfId="0" applyFont="1" applyFill="1" applyBorder="1" applyAlignment="1"/>
    <xf numFmtId="0" fontId="7" fillId="0" borderId="0" xfId="0" applyFont="1"/>
    <xf numFmtId="0" fontId="18" fillId="0" borderId="3" xfId="0" applyFont="1" applyBorder="1" applyAlignment="1"/>
    <xf numFmtId="164" fontId="19" fillId="0" borderId="3" xfId="1" applyNumberFormat="1" applyFont="1" applyBorder="1" applyAlignment="1">
      <alignment horizontal="right" vertical="center"/>
    </xf>
    <xf numFmtId="0" fontId="18" fillId="0" borderId="3" xfId="0" applyFont="1" applyFill="1" applyBorder="1" applyAlignment="1">
      <alignment horizontal="left" vertical="center"/>
    </xf>
    <xf numFmtId="166" fontId="7" fillId="0" borderId="0" xfId="0" applyNumberFormat="1" applyFont="1"/>
    <xf numFmtId="169" fontId="9" fillId="0" borderId="0" xfId="4" applyNumberFormat="1" applyFont="1" applyBorder="1" applyAlignment="1">
      <alignment horizontal="right" vertical="center"/>
    </xf>
    <xf numFmtId="10" fontId="21" fillId="0" borderId="0" xfId="4" applyNumberFormat="1" applyFont="1" applyFill="1" applyBorder="1" applyAlignment="1">
      <alignment horizontal="right" vertical="center"/>
    </xf>
    <xf numFmtId="9" fontId="0" fillId="0" borderId="0" xfId="4" applyFont="1"/>
    <xf numFmtId="0" fontId="0" fillId="17" borderId="8" xfId="0" applyFill="1" applyBorder="1" applyAlignment="1">
      <alignment horizontal="center"/>
    </xf>
    <xf numFmtId="0" fontId="4" fillId="0" borderId="9" xfId="0" applyFont="1" applyBorder="1" applyAlignment="1">
      <alignment horizontal="left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0" fillId="0" borderId="0" xfId="0" applyBorder="1"/>
    <xf numFmtId="0" fontId="0" fillId="0" borderId="0" xfId="0" applyFill="1"/>
    <xf numFmtId="164" fontId="0" fillId="0" borderId="3" xfId="1" applyNumberFormat="1" applyFont="1" applyBorder="1"/>
    <xf numFmtId="0" fontId="4" fillId="17" borderId="0" xfId="0" applyFont="1" applyFill="1" applyBorder="1" applyAlignment="1">
      <alignment horizontal="center"/>
    </xf>
    <xf numFmtId="166" fontId="0" fillId="14" borderId="3" xfId="1" applyNumberFormat="1" applyFont="1" applyFill="1" applyBorder="1" applyAlignment="1"/>
    <xf numFmtId="166" fontId="0" fillId="8" borderId="3" xfId="1" applyNumberFormat="1" applyFont="1" applyFill="1" applyBorder="1" applyAlignment="1"/>
    <xf numFmtId="0" fontId="18" fillId="17" borderId="8" xfId="0" applyFont="1" applyFill="1" applyBorder="1" applyAlignment="1"/>
    <xf numFmtId="0" fontId="18" fillId="17" borderId="6" xfId="0" applyFont="1" applyFill="1" applyBorder="1" applyAlignment="1"/>
    <xf numFmtId="166" fontId="0" fillId="4" borderId="3" xfId="1" applyNumberFormat="1" applyFont="1" applyFill="1" applyBorder="1" applyAlignment="1"/>
    <xf numFmtId="43" fontId="0" fillId="0" borderId="0" xfId="1" applyFont="1"/>
    <xf numFmtId="164" fontId="0" fillId="0" borderId="0" xfId="1" applyNumberFormat="1" applyFont="1" applyAlignment="1">
      <alignment horizontal="center"/>
    </xf>
    <xf numFmtId="0" fontId="0" fillId="17" borderId="0" xfId="0" applyFill="1" applyAlignment="1">
      <alignment horizontal="center"/>
    </xf>
    <xf numFmtId="166" fontId="14" fillId="0" borderId="0" xfId="0" applyNumberFormat="1" applyFont="1"/>
    <xf numFmtId="169" fontId="0" fillId="0" borderId="0" xfId="4" applyNumberFormat="1" applyFont="1"/>
    <xf numFmtId="10" fontId="0" fillId="0" borderId="0" xfId="4" applyNumberFormat="1" applyFont="1"/>
    <xf numFmtId="0" fontId="5" fillId="0" borderId="0" xfId="0" applyFont="1"/>
    <xf numFmtId="164" fontId="5" fillId="0" borderId="0" xfId="0" applyNumberFormat="1" applyFont="1"/>
    <xf numFmtId="3" fontId="5" fillId="0" borderId="0" xfId="0" applyNumberFormat="1" applyFont="1"/>
    <xf numFmtId="164" fontId="5" fillId="0" borderId="0" xfId="1" applyNumberFormat="1" applyFont="1" applyAlignment="1">
      <alignment horizontal="center"/>
    </xf>
    <xf numFmtId="166" fontId="0" fillId="14" borderId="0" xfId="0" applyNumberFormat="1" applyFill="1"/>
    <xf numFmtId="166" fontId="0" fillId="8" borderId="0" xfId="0" applyNumberFormat="1" applyFill="1"/>
    <xf numFmtId="166" fontId="7" fillId="6" borderId="0" xfId="0" applyNumberFormat="1" applyFont="1" applyFill="1"/>
    <xf numFmtId="166" fontId="4" fillId="6" borderId="0" xfId="0" applyNumberFormat="1" applyFont="1" applyFill="1"/>
    <xf numFmtId="166" fontId="0" fillId="14" borderId="0" xfId="0" applyNumberFormat="1" applyFont="1" applyFill="1"/>
    <xf numFmtId="166" fontId="0" fillId="8" borderId="0" xfId="0" applyNumberFormat="1" applyFont="1" applyFill="1"/>
    <xf numFmtId="166" fontId="0" fillId="4" borderId="0" xfId="0" applyNumberFormat="1" applyFont="1" applyFill="1"/>
    <xf numFmtId="0" fontId="18" fillId="14" borderId="3" xfId="0" applyFont="1" applyFill="1" applyBorder="1" applyAlignment="1">
      <alignment horizontal="center"/>
    </xf>
    <xf numFmtId="0" fontId="0" fillId="14" borderId="3" xfId="0" applyFill="1" applyBorder="1" applyAlignment="1">
      <alignment horizontal="center"/>
    </xf>
    <xf numFmtId="0" fontId="18" fillId="8" borderId="3" xfId="0" applyFont="1" applyFill="1" applyBorder="1" applyAlignment="1">
      <alignment horizontal="center"/>
    </xf>
    <xf numFmtId="166" fontId="0" fillId="14" borderId="3" xfId="1" applyNumberFormat="1" applyFont="1" applyFill="1" applyBorder="1" applyAlignment="1">
      <alignment horizontal="center"/>
    </xf>
    <xf numFmtId="166" fontId="0" fillId="4" borderId="3" xfId="1" applyNumberFormat="1" applyFont="1" applyFill="1" applyBorder="1" applyAlignment="1">
      <alignment horizontal="center"/>
    </xf>
    <xf numFmtId="166" fontId="0" fillId="8" borderId="3" xfId="1" applyNumberFormat="1" applyFont="1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166" fontId="26" fillId="0" borderId="0" xfId="0" applyNumberFormat="1" applyFont="1"/>
    <xf numFmtId="0" fontId="0" fillId="0" borderId="0" xfId="0" applyAlignment="1">
      <alignment horizontal="right"/>
    </xf>
    <xf numFmtId="166" fontId="4" fillId="21" borderId="3" xfId="1" applyNumberFormat="1" applyFont="1" applyFill="1" applyBorder="1" applyAlignment="1"/>
    <xf numFmtId="166" fontId="4" fillId="21" borderId="0" xfId="0" applyNumberFormat="1" applyFont="1" applyFill="1"/>
    <xf numFmtId="166" fontId="4" fillId="0" borderId="0" xfId="0" applyNumberFormat="1" applyFont="1" applyFill="1"/>
    <xf numFmtId="0" fontId="27" fillId="0" borderId="0" xfId="0" applyFont="1"/>
    <xf numFmtId="0" fontId="4" fillId="0" borderId="9" xfId="0" applyFont="1" applyBorder="1" applyAlignment="1">
      <alignment horizontal="left"/>
    </xf>
    <xf numFmtId="0" fontId="4" fillId="0" borderId="0" xfId="0" applyFont="1" applyAlignment="1">
      <alignment horizontal="left" vertical="center" wrapText="1"/>
    </xf>
    <xf numFmtId="0" fontId="0" fillId="17" borderId="0" xfId="0" applyFill="1" applyAlignment="1">
      <alignment horizontal="center"/>
    </xf>
    <xf numFmtId="0" fontId="4" fillId="17" borderId="0" xfId="0" applyFont="1" applyFill="1" applyBorder="1" applyAlignment="1">
      <alignment horizontal="center"/>
    </xf>
    <xf numFmtId="0" fontId="4" fillId="0" borderId="9" xfId="0" applyFont="1" applyBorder="1" applyAlignment="1">
      <alignment horizontal="left" vertical="center" wrapText="1"/>
    </xf>
    <xf numFmtId="0" fontId="18" fillId="17" borderId="0" xfId="0" applyFont="1" applyFill="1" applyAlignment="1">
      <alignment horizontal="center"/>
    </xf>
    <xf numFmtId="0" fontId="7" fillId="0" borderId="9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0" fillId="0" borderId="6" xfId="0" applyBorder="1" applyAlignment="1">
      <alignment horizontal="center"/>
    </xf>
    <xf numFmtId="0" fontId="25" fillId="0" borderId="9" xfId="0" applyFont="1" applyBorder="1" applyAlignment="1">
      <alignment horizontal="center"/>
    </xf>
    <xf numFmtId="0" fontId="25" fillId="0" borderId="36" xfId="0" applyFont="1" applyBorder="1" applyAlignment="1">
      <alignment horizontal="center"/>
    </xf>
    <xf numFmtId="164" fontId="9" fillId="0" borderId="5" xfId="1" applyNumberFormat="1" applyFont="1" applyBorder="1" applyAlignment="1">
      <alignment horizontal="center" vertical="center"/>
    </xf>
    <xf numFmtId="164" fontId="9" fillId="0" borderId="1" xfId="1" applyNumberFormat="1" applyFont="1" applyBorder="1" applyAlignment="1">
      <alignment horizontal="center" vertical="center"/>
    </xf>
    <xf numFmtId="0" fontId="9" fillId="18" borderId="3" xfId="0" applyFont="1" applyFill="1" applyBorder="1" applyAlignment="1">
      <alignment horizontal="center" vertical="center" wrapText="1"/>
    </xf>
    <xf numFmtId="0" fontId="0" fillId="18" borderId="3" xfId="0" applyFill="1" applyBorder="1" applyAlignment="1"/>
    <xf numFmtId="0" fontId="9" fillId="11" borderId="4" xfId="0" applyFont="1" applyFill="1" applyBorder="1" applyAlignment="1">
      <alignment horizontal="center" vertical="center" wrapText="1"/>
    </xf>
    <xf numFmtId="0" fontId="9" fillId="11" borderId="6" xfId="0" applyFont="1" applyFill="1" applyBorder="1" applyAlignment="1">
      <alignment horizontal="center" vertical="center" wrapText="1"/>
    </xf>
    <xf numFmtId="0" fontId="9" fillId="11" borderId="34" xfId="0" applyFont="1" applyFill="1" applyBorder="1" applyAlignment="1">
      <alignment horizontal="center" vertical="center" wrapText="1"/>
    </xf>
    <xf numFmtId="0" fontId="9" fillId="20" borderId="3" xfId="0" applyFont="1" applyFill="1" applyBorder="1" applyAlignment="1">
      <alignment horizontal="center" vertical="center" wrapText="1"/>
    </xf>
    <xf numFmtId="164" fontId="9" fillId="0" borderId="42" xfId="1" applyNumberFormat="1" applyFont="1" applyBorder="1" applyAlignment="1">
      <alignment horizontal="center" vertical="center"/>
    </xf>
    <xf numFmtId="164" fontId="9" fillId="0" borderId="38" xfId="1" applyNumberFormat="1" applyFont="1" applyBorder="1" applyAlignment="1">
      <alignment horizontal="center" vertical="center"/>
    </xf>
    <xf numFmtId="164" fontId="9" fillId="0" borderId="41" xfId="1" applyNumberFormat="1" applyFont="1" applyBorder="1" applyAlignment="1">
      <alignment horizontal="center" vertical="center"/>
    </xf>
    <xf numFmtId="164" fontId="9" fillId="0" borderId="37" xfId="1" applyNumberFormat="1" applyFont="1" applyBorder="1" applyAlignment="1">
      <alignment horizontal="center" vertical="center"/>
    </xf>
    <xf numFmtId="164" fontId="9" fillId="16" borderId="5" xfId="1" applyNumberFormat="1" applyFont="1" applyFill="1" applyBorder="1" applyAlignment="1">
      <alignment horizontal="center" vertical="center"/>
    </xf>
    <xf numFmtId="164" fontId="9" fillId="16" borderId="1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3" fontId="17" fillId="0" borderId="31" xfId="0" applyNumberFormat="1" applyFont="1" applyBorder="1" applyAlignment="1">
      <alignment horizontal="center" vertical="center"/>
    </xf>
    <xf numFmtId="3" fontId="17" fillId="0" borderId="22" xfId="0" applyNumberFormat="1" applyFont="1" applyBorder="1" applyAlignment="1">
      <alignment horizontal="center" vertical="center"/>
    </xf>
    <xf numFmtId="0" fontId="7" fillId="17" borderId="28" xfId="0" applyFont="1" applyFill="1" applyBorder="1" applyAlignment="1">
      <alignment horizontal="center"/>
    </xf>
    <xf numFmtId="0" fontId="7" fillId="17" borderId="27" xfId="0" applyFont="1" applyFill="1" applyBorder="1" applyAlignment="1">
      <alignment horizontal="center"/>
    </xf>
    <xf numFmtId="0" fontId="7" fillId="14" borderId="30" xfId="0" applyFont="1" applyFill="1" applyBorder="1" applyAlignment="1">
      <alignment horizontal="center"/>
    </xf>
    <xf numFmtId="0" fontId="7" fillId="14" borderId="27" xfId="0" applyFont="1" applyFill="1" applyBorder="1" applyAlignment="1">
      <alignment horizontal="center"/>
    </xf>
    <xf numFmtId="0" fontId="7" fillId="14" borderId="29" xfId="0" applyFont="1" applyFill="1" applyBorder="1" applyAlignment="1">
      <alignment horizontal="center"/>
    </xf>
    <xf numFmtId="0" fontId="7" fillId="4" borderId="28" xfId="0" applyFont="1" applyFill="1" applyBorder="1" applyAlignment="1">
      <alignment horizontal="center"/>
    </xf>
    <xf numFmtId="0" fontId="7" fillId="4" borderId="27" xfId="0" applyFont="1" applyFill="1" applyBorder="1" applyAlignment="1">
      <alignment horizontal="center"/>
    </xf>
    <xf numFmtId="0" fontId="7" fillId="4" borderId="29" xfId="0" applyFont="1" applyFill="1" applyBorder="1" applyAlignment="1">
      <alignment horizontal="center"/>
    </xf>
    <xf numFmtId="0" fontId="25" fillId="0" borderId="0" xfId="0" applyFont="1" applyAlignment="1">
      <alignment horizontal="left"/>
    </xf>
    <xf numFmtId="0" fontId="17" fillId="0" borderId="35" xfId="0" applyFont="1" applyBorder="1" applyAlignment="1">
      <alignment horizontal="center" vertical="center" wrapText="1"/>
    </xf>
    <xf numFmtId="0" fontId="17" fillId="0" borderId="33" xfId="0" applyFont="1" applyBorder="1" applyAlignment="1">
      <alignment horizontal="center" vertical="center" wrapText="1"/>
    </xf>
    <xf numFmtId="0" fontId="9" fillId="19" borderId="2" xfId="0" applyFont="1" applyFill="1" applyBorder="1" applyAlignment="1">
      <alignment horizontal="center" vertical="center" wrapText="1"/>
    </xf>
    <xf numFmtId="0" fontId="0" fillId="19" borderId="3" xfId="0" applyFill="1" applyBorder="1" applyAlignment="1"/>
    <xf numFmtId="0" fontId="9" fillId="0" borderId="44" xfId="0" applyFont="1" applyBorder="1" applyAlignment="1">
      <alignment horizontal="center" vertical="center"/>
    </xf>
    <xf numFmtId="0" fontId="9" fillId="0" borderId="39" xfId="0" applyFont="1" applyBorder="1" applyAlignment="1">
      <alignment horizontal="center" vertical="center"/>
    </xf>
    <xf numFmtId="164" fontId="9" fillId="0" borderId="43" xfId="1" applyNumberFormat="1" applyFont="1" applyBorder="1" applyAlignment="1">
      <alignment horizontal="center" vertical="center"/>
    </xf>
    <xf numFmtId="164" fontId="9" fillId="0" borderId="22" xfId="1" applyNumberFormat="1" applyFont="1" applyBorder="1" applyAlignment="1">
      <alignment horizontal="center" vertical="center"/>
    </xf>
    <xf numFmtId="164" fontId="13" fillId="0" borderId="0" xfId="0" applyNumberFormat="1" applyFont="1" applyAlignment="1">
      <alignment horizontal="center"/>
    </xf>
    <xf numFmtId="3" fontId="16" fillId="0" borderId="0" xfId="0" applyNumberFormat="1" applyFont="1" applyAlignment="1">
      <alignment horizontal="center"/>
    </xf>
    <xf numFmtId="0" fontId="9" fillId="18" borderId="4" xfId="0" applyFont="1" applyFill="1" applyBorder="1" applyAlignment="1">
      <alignment horizontal="center" vertical="center" wrapText="1"/>
    </xf>
    <xf numFmtId="0" fontId="9" fillId="18" borderId="2" xfId="0" applyFont="1" applyFill="1" applyBorder="1" applyAlignment="1">
      <alignment horizontal="center" vertical="center" wrapText="1"/>
    </xf>
    <xf numFmtId="0" fontId="9" fillId="19" borderId="6" xfId="0" applyFont="1" applyFill="1" applyBorder="1" applyAlignment="1">
      <alignment horizontal="center" vertical="center" wrapText="1"/>
    </xf>
    <xf numFmtId="3" fontId="7" fillId="13" borderId="26" xfId="0" applyNumberFormat="1" applyFont="1" applyFill="1" applyBorder="1" applyAlignment="1">
      <alignment horizontal="center"/>
    </xf>
    <xf numFmtId="3" fontId="7" fillId="13" borderId="25" xfId="0" applyNumberFormat="1" applyFont="1" applyFill="1" applyBorder="1" applyAlignment="1">
      <alignment horizontal="center"/>
    </xf>
    <xf numFmtId="3" fontId="7" fillId="13" borderId="24" xfId="0" applyNumberFormat="1" applyFont="1" applyFill="1" applyBorder="1" applyAlignment="1">
      <alignment horizontal="center"/>
    </xf>
    <xf numFmtId="3" fontId="7" fillId="13" borderId="23" xfId="0" applyNumberFormat="1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 vertical="center" wrapText="1"/>
    </xf>
  </cellXfs>
  <cellStyles count="5">
    <cellStyle name="Accent1" xfId="2" builtinId="29"/>
    <cellStyle name="Accent6" xfId="3" builtinId="49"/>
    <cellStyle name="Comma" xfId="1" builtinId="3"/>
    <cellStyle name="Normal" xfId="0" builtinId="0"/>
    <cellStyle name="Percent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normalizeH="0" baseline="0">
                <a:solidFill>
                  <a:sysClr val="windowText" lastClr="000000"/>
                </a:solidFill>
                <a:latin typeface="+mj-lt"/>
                <a:ea typeface="+mj-ea"/>
                <a:cs typeface="+mj-cs"/>
              </a:defRPr>
            </a:pPr>
            <a:r>
              <a:rPr lang="en-US" b="0"/>
              <a:t>Disbursement shares by donors in 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normalizeH="0" baseline="0">
              <a:solidFill>
                <a:sysClr val="windowText" lastClr="000000"/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CFD-4F90-B680-9FC7AE42B87F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CFD-4F90-B680-9FC7AE42B87F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8E4C2704-7D59-4A8A-8A85-65B2696974C7}" type="VALUE">
                      <a:rPr lang="en-US"/>
                      <a:pPr/>
                      <a:t>[VALUE]</a:t>
                    </a:fld>
                    <a:r>
                      <a:rPr lang="en-US" baseline="0"/>
                      <a:t> - </a:t>
                    </a:r>
                    <a:fld id="{B8FB0FAE-64F3-49CF-A15E-FBD12B2CD3B6}" type="PERCENTAGE">
                      <a:rPr lang="en-US" baseline="0"/>
                      <a:pPr/>
                      <a:t>[PERCENTAGE]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0CFD-4F90-B680-9FC7AE42B87F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B59FBDB-6BE1-4A10-9F84-D29957C596F2}" type="VALUE">
                      <a:rPr lang="en-US"/>
                      <a:pPr/>
                      <a:t>[VALUE]</a:t>
                    </a:fld>
                    <a:r>
                      <a:rPr lang="en-US" baseline="0"/>
                      <a:t> - </a:t>
                    </a:r>
                    <a:fld id="{BB7464AA-00DD-4F12-BE14-580186F3B984}" type="PERCENTAGE">
                      <a:rPr lang="en-US" baseline="0"/>
                      <a:pPr/>
                      <a:t>[PERCENTAGE]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0CFD-4F90-B680-9FC7AE42B8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Projection!$A$62:$A$63</c:f>
              <c:strCache>
                <c:ptCount val="2"/>
                <c:pt idx="0">
                  <c:v>WB </c:v>
                </c:pt>
                <c:pt idx="1">
                  <c:v>KfW </c:v>
                </c:pt>
              </c:strCache>
            </c:strRef>
          </c:cat>
          <c:val>
            <c:numRef>
              <c:f>(' COVID STATISTICS'!$D$17,' COVID STATISTICS'!$F$17)</c:f>
              <c:numCache>
                <c:formatCode>#,##0</c:formatCode>
                <c:ptCount val="2"/>
                <c:pt idx="0">
                  <c:v>284966335</c:v>
                </c:pt>
                <c:pt idx="1">
                  <c:v>21790800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CFD-4F90-B680-9FC7AE42B8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6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6225926576056966"/>
          <c:y val="0.48791593759113444"/>
          <c:w val="0.12107406757276359"/>
          <c:h val="0.15625109361329834"/>
        </c:manualLayout>
      </c:layout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2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normalizeH="0" baseline="0">
                <a:solidFill>
                  <a:sysClr val="windowText" lastClr="000000"/>
                </a:solidFill>
                <a:latin typeface="+mj-lt"/>
                <a:ea typeface="+mj-ea"/>
                <a:cs typeface="+mj-cs"/>
              </a:defRPr>
            </a:pPr>
            <a:r>
              <a:rPr lang="en-US" b="0"/>
              <a:t>Households with score 65,000 to 100,001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normalizeH="0" baseline="0">
              <a:solidFill>
                <a:sysClr val="windowText" lastClr="000000"/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spPr>
            <a:ln>
              <a:noFill/>
            </a:ln>
          </c:spPr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EBD-435D-AAEB-D3CCE13F34D4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72764625-DE4F-46FD-8F25-2EFC4CE970E9}" type="VALUE">
                      <a:rPr lang="en-US"/>
                      <a:pPr/>
                      <a:t>[VALUE]</a:t>
                    </a:fld>
                    <a:r>
                      <a:rPr lang="en-US" baseline="0"/>
                      <a:t> - </a:t>
                    </a:r>
                    <a:fld id="{E8EB6C76-33D3-4233-8C7E-88C7D58CF026}" type="PERCENTAGE">
                      <a:rPr lang="en-US" baseline="0"/>
                      <a:pPr/>
                      <a:t>[PERCENTAGE]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DEBD-435D-AAEB-D3CCE13F34D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Projection!$A$62</c:f>
              <c:strCache>
                <c:ptCount val="1"/>
                <c:pt idx="0">
                  <c:v>WB </c:v>
                </c:pt>
              </c:strCache>
            </c:strRef>
          </c:cat>
          <c:val>
            <c:numRef>
              <c:f>' COVID STATISTICS'!$D$15</c:f>
              <c:numCache>
                <c:formatCode>#,##0</c:formatCode>
                <c:ptCount val="1"/>
                <c:pt idx="0">
                  <c:v>50451335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BD-435D-AAEB-D3CCE13F34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4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2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normalizeH="0" baseline="0">
                <a:solidFill>
                  <a:sysClr val="windowText" lastClr="000000"/>
                </a:solidFill>
                <a:latin typeface="+mj-lt"/>
                <a:ea typeface="+mj-ea"/>
                <a:cs typeface="+mj-cs"/>
              </a:defRPr>
            </a:pPr>
            <a:r>
              <a:rPr lang="en-US" b="0"/>
              <a:t>Households with a rating score of 100,001 or less with 3 children or more, up to 16 years old </a:t>
            </a:r>
          </a:p>
        </c:rich>
      </c:tx>
      <c:layout>
        <c:manualLayout>
          <c:xMode val="edge"/>
          <c:yMode val="edge"/>
          <c:x val="0.11631974008888532"/>
          <c:y val="2.851851907297597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normalizeH="0" baseline="0">
              <a:solidFill>
                <a:sysClr val="windowText" lastClr="000000"/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8B6-43A3-BB95-38838C41AC94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8B6-43A3-BB95-38838C41AC94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AF2F5FDD-4ACA-4F3C-B3C2-06EB31AA3157}" type="VALUE">
                      <a:rPr lang="en-US"/>
                      <a:pPr/>
                      <a:t>[VALUE]</a:t>
                    </a:fld>
                    <a:r>
                      <a:rPr lang="en-US" baseline="0"/>
                      <a:t>-</a:t>
                    </a:r>
                    <a:fld id="{F25114E1-86FC-4FF4-82AE-DC8AADF97CBB}" type="PERCENTAGE">
                      <a:rPr lang="en-US" baseline="0"/>
                      <a:pPr/>
                      <a:t>[PERCENTAGE]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58B6-43A3-BB95-38838C41AC94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8A5BB5C-9572-40B4-B45E-C6FDA2A02366}" type="VALUE">
                      <a:rPr lang="en-US"/>
                      <a:pPr/>
                      <a:t>[VALUE]</a:t>
                    </a:fld>
                    <a:r>
                      <a:rPr lang="en-US" baseline="0"/>
                      <a:t>- </a:t>
                    </a:r>
                    <a:fld id="{3C4EA342-10D3-4D4A-AAB5-9C79366CDEA6}" type="PERCENTAGE">
                      <a:rPr lang="en-US" baseline="0"/>
                      <a:pPr/>
                      <a:t>[PERCENTAGE]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58B6-43A3-BB95-38838C41AC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Projection!$A$62:$A$63</c:f>
              <c:strCache>
                <c:ptCount val="2"/>
                <c:pt idx="0">
                  <c:v>WB </c:v>
                </c:pt>
                <c:pt idx="1">
                  <c:v>KfW </c:v>
                </c:pt>
              </c:strCache>
            </c:strRef>
          </c:cat>
          <c:val>
            <c:numRef>
              <c:f>Projection!$C$102:$C$103</c:f>
              <c:numCache>
                <c:formatCode>_(* #,##0_);_(* \(#,##0\);_(* "-"??_);_(@_)</c:formatCode>
                <c:ptCount val="2"/>
                <c:pt idx="0">
                  <c:v>9300900</c:v>
                </c:pt>
                <c:pt idx="1">
                  <c:v>4984700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8B6-43A3-BB95-38838C41A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2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2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normalizeH="0" baseline="0">
                <a:solidFill>
                  <a:sysClr val="windowText" lastClr="000000"/>
                </a:solidFill>
                <a:latin typeface="+mj-lt"/>
                <a:ea typeface="+mj-ea"/>
                <a:cs typeface="+mj-cs"/>
              </a:defRPr>
            </a:pPr>
            <a:r>
              <a:rPr lang="en-US" b="0"/>
              <a:t>Unemployment benefit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normalizeH="0" baseline="0">
              <a:solidFill>
                <a:sysClr val="windowText" lastClr="000000"/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A17-4F3E-AA26-871080085DCF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A17-4F3E-AA26-871080085DCF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F116AF62-55BE-4100-94D5-7AB78E5E715D}" type="VALUE">
                      <a:rPr lang="en-US"/>
                      <a:pPr/>
                      <a:t>[VALUE]</a:t>
                    </a:fld>
                    <a:r>
                      <a:rPr lang="en-US" baseline="0"/>
                      <a:t>- </a:t>
                    </a:r>
                    <a:fld id="{21D67378-3327-4E60-BD48-2B65D2617D52}" type="PERCENTAGE">
                      <a:rPr lang="en-US" baseline="0"/>
                      <a:pPr/>
                      <a:t>[PERCENTAGE]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6A17-4F3E-AA26-871080085DCF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B0B30D0-1048-4A39-98D6-CB01B316D75B}" type="VALUE">
                      <a:rPr lang="en-US"/>
                      <a:pPr/>
                      <a:t>[VALUE]</a:t>
                    </a:fld>
                    <a:r>
                      <a:rPr lang="en-US" baseline="0"/>
                      <a:t> - </a:t>
                    </a:r>
                    <a:fld id="{F572163F-FBAF-4D9E-8033-DEEFC975C8BC}" type="PERCENTAGE">
                      <a:rPr lang="en-US" baseline="0"/>
                      <a:pPr/>
                      <a:t>[PERCENTAGE]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6A17-4F3E-AA26-871080085D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Projection!$A$62:$A$63</c:f>
              <c:strCache>
                <c:ptCount val="2"/>
                <c:pt idx="0">
                  <c:v>WB </c:v>
                </c:pt>
                <c:pt idx="1">
                  <c:v>KfW </c:v>
                </c:pt>
              </c:strCache>
            </c:strRef>
          </c:cat>
          <c:val>
            <c:numRef>
              <c:f>Projection!$D$102:$D$103</c:f>
              <c:numCache>
                <c:formatCode>#,##0</c:formatCode>
                <c:ptCount val="2"/>
                <c:pt idx="0" formatCode="_(* #,##0_);_(* \(#,##0\);_(* &quot;-&quot;??_);_(@_)">
                  <c:v>114606300</c:v>
                </c:pt>
                <c:pt idx="1">
                  <c:v>16631500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A17-4F3E-AA26-871080085D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7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2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normalizeH="0" baseline="0">
                <a:solidFill>
                  <a:sysClr val="windowText" lastClr="000000"/>
                </a:solidFill>
                <a:latin typeface="+mj-lt"/>
                <a:ea typeface="+mj-ea"/>
                <a:cs typeface="+mj-cs"/>
              </a:defRPr>
            </a:pPr>
            <a:r>
              <a:rPr lang="en-US" b="0"/>
              <a:t>Self - employed (one-off benefit 300 GEL)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normalizeH="0" baseline="0">
              <a:solidFill>
                <a:sysClr val="windowText" lastClr="000000"/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spPr>
            <a:ln>
              <a:noFill/>
            </a:ln>
          </c:spPr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33B-4B59-90A7-3BE39B1ECA6E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222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33B-4B59-90A7-3BE39B1ECA6E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200" b="0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76BDBC04-151F-47EC-8886-F140976D967C}" type="VALUE">
                      <a:rPr lang="en-US"/>
                      <a:pPr>
                        <a:defRPr/>
                      </a:pPr>
                      <a:t>[VALUE]</a:t>
                    </a:fld>
                    <a:r>
                      <a:rPr lang="en-US" baseline="0"/>
                      <a:t>- </a:t>
                    </a:r>
                    <a:fld id="{CEFC6111-6A8B-42B0-AA83-80C2CD000D40}" type="PERCENTAGE">
                      <a:rPr lang="en-US" baseline="0"/>
                      <a:pPr>
                        <a:defRPr/>
                      </a:pPr>
                      <a:t>[PERCENTAGE]</a:t>
                    </a:fld>
                    <a:endParaRPr lang="en-US" baseline="0"/>
                  </a:p>
                </c:rich>
              </c:tx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433B-4B59-90A7-3BE39B1ECA6E}"/>
                </c:ext>
              </c:extLst>
            </c:dLbl>
            <c:dLbl>
              <c:idx val="1"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200" b="0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C04C614-49F1-438E-929E-1F649E163DBD}" type="VALUE">
                      <a:rPr lang="en-US"/>
                      <a:pPr>
                        <a:defRPr/>
                      </a:pPr>
                      <a:t>[VALUE]</a:t>
                    </a:fld>
                    <a:r>
                      <a:rPr lang="en-US" baseline="0"/>
                      <a:t>- </a:t>
                    </a:r>
                    <a:fld id="{DE9C23E1-2A85-4657-88C6-420FDD877D92}" type="PERCENTAGE">
                      <a:rPr lang="en-US" baseline="0"/>
                      <a:pPr>
                        <a:defRPr/>
                      </a:pPr>
                      <a:t>[PERCENTAGE]</a:t>
                    </a:fld>
                    <a:endParaRPr lang="en-US" baseline="0"/>
                  </a:p>
                </c:rich>
              </c:tx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433B-4B59-90A7-3BE39B1ECA6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Projection!$A$62:$A$63</c:f>
              <c:strCache>
                <c:ptCount val="2"/>
                <c:pt idx="0">
                  <c:v>WB </c:v>
                </c:pt>
                <c:pt idx="1">
                  <c:v>KfW </c:v>
                </c:pt>
              </c:strCache>
            </c:strRef>
          </c:cat>
          <c:val>
            <c:numRef>
              <c:f>Projection!$E$102:$E$103</c:f>
              <c:numCache>
                <c:formatCode>_(* #,##0_);_(* \(#,##0\);_(* "-"??_);_(@_)</c:formatCode>
                <c:ptCount val="2"/>
                <c:pt idx="0">
                  <c:v>110607800</c:v>
                </c:pt>
                <c:pt idx="1">
                  <c:v>174600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33B-4B59-90A7-3BE39B1EC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5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2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641763</xdr:colOff>
      <xdr:row>51</xdr:row>
      <xdr:rowOff>39584</xdr:rowOff>
    </xdr:from>
    <xdr:to>
      <xdr:col>10</xdr:col>
      <xdr:colOff>297477</xdr:colOff>
      <xdr:row>67</xdr:row>
      <xdr:rowOff>40376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554182</xdr:colOff>
      <xdr:row>68</xdr:row>
      <xdr:rowOff>792</xdr:rowOff>
    </xdr:from>
    <xdr:to>
      <xdr:col>7</xdr:col>
      <xdr:colOff>1</xdr:colOff>
      <xdr:row>83</xdr:row>
      <xdr:rowOff>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790</xdr:colOff>
      <xdr:row>67</xdr:row>
      <xdr:rowOff>173576</xdr:rowOff>
    </xdr:from>
    <xdr:to>
      <xdr:col>13</xdr:col>
      <xdr:colOff>831272</xdr:colOff>
      <xdr:row>82</xdr:row>
      <xdr:rowOff>173576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533137</xdr:colOff>
      <xdr:row>85</xdr:row>
      <xdr:rowOff>165958</xdr:rowOff>
    </xdr:from>
    <xdr:to>
      <xdr:col>6</xdr:col>
      <xdr:colOff>830383</xdr:colOff>
      <xdr:row>100</xdr:row>
      <xdr:rowOff>165958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900544</xdr:colOff>
      <xdr:row>85</xdr:row>
      <xdr:rowOff>168234</xdr:rowOff>
    </xdr:from>
    <xdr:to>
      <xdr:col>13</xdr:col>
      <xdr:colOff>863038</xdr:colOff>
      <xdr:row>100</xdr:row>
      <xdr:rowOff>168234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103"/>
  <sheetViews>
    <sheetView tabSelected="1" topLeftCell="A16" zoomScale="91" workbookViewId="0">
      <selection activeCell="I31" sqref="I31"/>
    </sheetView>
  </sheetViews>
  <sheetFormatPr defaultRowHeight="14.4" x14ac:dyDescent="0.3"/>
  <cols>
    <col min="1" max="1" width="14.88671875" customWidth="1"/>
    <col min="2" max="2" width="14.6640625" bestFit="1" customWidth="1"/>
    <col min="3" max="3" width="14.33203125" customWidth="1"/>
    <col min="4" max="4" width="13.6640625" bestFit="1" customWidth="1"/>
    <col min="5" max="5" width="12" bestFit="1" customWidth="1"/>
    <col min="6" max="6" width="11.33203125" customWidth="1"/>
    <col min="7" max="7" width="12.109375" customWidth="1"/>
    <col min="8" max="8" width="13.88671875" bestFit="1" customWidth="1"/>
    <col min="9" max="10" width="13.109375" customWidth="1"/>
    <col min="11" max="11" width="11" bestFit="1" customWidth="1"/>
    <col min="12" max="12" width="10.6640625" customWidth="1"/>
    <col min="13" max="13" width="11.88671875" customWidth="1"/>
    <col min="14" max="14" width="13.5546875" customWidth="1"/>
    <col min="15" max="15" width="14.44140625" customWidth="1"/>
  </cols>
  <sheetData>
    <row r="2" spans="1:15" x14ac:dyDescent="0.3">
      <c r="A2" s="13" t="s">
        <v>0</v>
      </c>
    </row>
    <row r="4" spans="1:15" x14ac:dyDescent="0.3">
      <c r="A4" s="16" t="s">
        <v>19</v>
      </c>
      <c r="F4" s="16" t="s">
        <v>20</v>
      </c>
      <c r="L4" s="16" t="s">
        <v>94</v>
      </c>
    </row>
    <row r="5" spans="1:15" x14ac:dyDescent="0.3">
      <c r="A5" s="189" t="s">
        <v>27</v>
      </c>
      <c r="B5" s="189"/>
      <c r="C5" s="189"/>
      <c r="D5" s="189"/>
      <c r="E5" s="17"/>
      <c r="F5" s="189"/>
      <c r="G5" s="189"/>
      <c r="H5" s="189"/>
      <c r="I5" s="189"/>
      <c r="J5" s="189"/>
      <c r="L5" s="191"/>
      <c r="M5" s="191"/>
      <c r="N5" s="191"/>
      <c r="O5" s="191"/>
    </row>
    <row r="6" spans="1:15" x14ac:dyDescent="0.3">
      <c r="A6" s="186" t="s">
        <v>18</v>
      </c>
      <c r="B6" s="186"/>
      <c r="C6" s="186"/>
      <c r="D6" s="186"/>
      <c r="F6" s="2" t="s">
        <v>26</v>
      </c>
      <c r="H6" s="129" t="s">
        <v>84</v>
      </c>
      <c r="L6" s="2" t="s">
        <v>26</v>
      </c>
    </row>
    <row r="7" spans="1:15" x14ac:dyDescent="0.3">
      <c r="A7" s="22">
        <v>2020</v>
      </c>
      <c r="B7" s="23" t="s">
        <v>23</v>
      </c>
      <c r="C7" s="23" t="s">
        <v>24</v>
      </c>
      <c r="D7" s="23" t="s">
        <v>25</v>
      </c>
      <c r="F7" s="22">
        <v>2021</v>
      </c>
      <c r="G7" s="23" t="s">
        <v>23</v>
      </c>
      <c r="H7" s="23" t="s">
        <v>24</v>
      </c>
      <c r="I7" s="23" t="s">
        <v>25</v>
      </c>
      <c r="J7" s="23" t="s">
        <v>54</v>
      </c>
      <c r="L7" s="132">
        <v>2020</v>
      </c>
      <c r="M7" s="88" t="s">
        <v>23</v>
      </c>
      <c r="N7" s="88" t="s">
        <v>24</v>
      </c>
      <c r="O7" s="88" t="s">
        <v>25</v>
      </c>
    </row>
    <row r="8" spans="1:15" x14ac:dyDescent="0.3">
      <c r="A8" s="24" t="s">
        <v>16</v>
      </c>
      <c r="B8" s="25">
        <v>119768</v>
      </c>
      <c r="C8" s="25">
        <v>398854</v>
      </c>
      <c r="D8" s="151">
        <v>26637644</v>
      </c>
      <c r="F8" s="24" t="s">
        <v>21</v>
      </c>
      <c r="G8" s="25">
        <v>78642</v>
      </c>
      <c r="H8" s="25">
        <v>222753</v>
      </c>
      <c r="I8" s="151">
        <v>9371915</v>
      </c>
      <c r="J8" s="176" t="s">
        <v>46</v>
      </c>
      <c r="K8" s="97"/>
      <c r="L8" s="133" t="s">
        <v>58</v>
      </c>
      <c r="M8" s="127">
        <v>70546</v>
      </c>
      <c r="N8" s="127">
        <v>196496</v>
      </c>
      <c r="O8" s="151">
        <v>8009700</v>
      </c>
    </row>
    <row r="9" spans="1:15" x14ac:dyDescent="0.3">
      <c r="A9" s="24" t="s">
        <v>17</v>
      </c>
      <c r="B9" s="25">
        <v>121215</v>
      </c>
      <c r="C9" s="25">
        <v>403658</v>
      </c>
      <c r="D9" s="151">
        <v>27005080</v>
      </c>
      <c r="E9" s="18"/>
      <c r="F9" s="24" t="s">
        <v>22</v>
      </c>
      <c r="G9" s="25">
        <v>79000</v>
      </c>
      <c r="H9" s="25">
        <v>225000</v>
      </c>
      <c r="I9" s="151">
        <v>9500000</v>
      </c>
      <c r="J9" s="176" t="s">
        <v>46</v>
      </c>
      <c r="L9" s="133" t="s">
        <v>57</v>
      </c>
      <c r="M9" s="127">
        <v>71973</v>
      </c>
      <c r="N9" s="127">
        <v>201175</v>
      </c>
      <c r="O9" s="151">
        <v>8180395</v>
      </c>
    </row>
    <row r="10" spans="1:15" x14ac:dyDescent="0.3">
      <c r="A10" s="22">
        <v>2021</v>
      </c>
      <c r="B10" s="27"/>
      <c r="C10" s="27"/>
      <c r="D10" s="27"/>
      <c r="F10" s="24" t="s">
        <v>61</v>
      </c>
      <c r="G10" s="25">
        <v>78000</v>
      </c>
      <c r="H10" s="25">
        <v>223000</v>
      </c>
      <c r="I10" s="151">
        <v>8500000</v>
      </c>
      <c r="J10" s="176" t="s">
        <v>46</v>
      </c>
      <c r="L10" s="133" t="s">
        <v>56</v>
      </c>
      <c r="M10" s="127">
        <v>74556</v>
      </c>
      <c r="N10" s="127">
        <v>209417</v>
      </c>
      <c r="O10" s="151">
        <v>8507525</v>
      </c>
    </row>
    <row r="11" spans="1:15" x14ac:dyDescent="0.3">
      <c r="A11" s="24" t="s">
        <v>21</v>
      </c>
      <c r="B11" s="24">
        <v>0</v>
      </c>
      <c r="C11" s="24">
        <v>0</v>
      </c>
      <c r="D11" s="151">
        <v>25000000</v>
      </c>
      <c r="F11" s="24" t="s">
        <v>60</v>
      </c>
      <c r="G11" s="25">
        <v>79000</v>
      </c>
      <c r="H11" s="25">
        <v>225000</v>
      </c>
      <c r="I11" s="155">
        <v>9500000</v>
      </c>
      <c r="J11" s="177"/>
      <c r="L11" s="133" t="s">
        <v>74</v>
      </c>
      <c r="M11" s="127">
        <v>76850</v>
      </c>
      <c r="N11" s="127">
        <v>216868</v>
      </c>
      <c r="O11" s="151">
        <v>8796630</v>
      </c>
    </row>
    <row r="12" spans="1:15" x14ac:dyDescent="0.3">
      <c r="A12" s="24" t="s">
        <v>22</v>
      </c>
      <c r="B12" s="24"/>
      <c r="C12" s="24"/>
      <c r="D12" s="151">
        <v>25000000</v>
      </c>
      <c r="E12" s="129"/>
      <c r="F12" s="24" t="s">
        <v>59</v>
      </c>
      <c r="G12" s="25">
        <v>78000</v>
      </c>
      <c r="H12" s="25">
        <v>223000</v>
      </c>
      <c r="I12" s="152">
        <v>8500000</v>
      </c>
      <c r="J12" s="178" t="s">
        <v>41</v>
      </c>
      <c r="L12" s="133" t="s">
        <v>73</v>
      </c>
      <c r="M12" s="127">
        <v>78642</v>
      </c>
      <c r="N12" s="127">
        <v>222753</v>
      </c>
      <c r="O12" s="151">
        <v>9024710</v>
      </c>
    </row>
    <row r="13" spans="1:15" x14ac:dyDescent="0.3">
      <c r="A13" s="147"/>
      <c r="B13" s="147"/>
      <c r="C13" s="147"/>
      <c r="D13" s="28">
        <f>SUM(D8:D12)</f>
        <v>103642724</v>
      </c>
      <c r="F13" s="24" t="s">
        <v>58</v>
      </c>
      <c r="G13" s="25">
        <v>79000</v>
      </c>
      <c r="H13" s="25">
        <v>225000</v>
      </c>
      <c r="I13" s="155">
        <v>9500000</v>
      </c>
      <c r="J13" s="177"/>
      <c r="L13" s="61"/>
      <c r="M13" s="61"/>
      <c r="N13" s="61"/>
      <c r="O13" s="168">
        <f>SUM(O8:O12)</f>
        <v>42518960</v>
      </c>
    </row>
    <row r="14" spans="1:15" x14ac:dyDescent="0.3">
      <c r="A14" s="189"/>
      <c r="B14" s="189"/>
      <c r="C14" s="189"/>
      <c r="D14" s="189"/>
      <c r="F14" s="24"/>
      <c r="G14" s="25"/>
      <c r="H14" s="25"/>
      <c r="I14" s="182">
        <f>SUM(I8:I13)</f>
        <v>54871915</v>
      </c>
      <c r="J14" s="26"/>
      <c r="L14" s="191"/>
      <c r="M14" s="191"/>
      <c r="N14" s="191"/>
      <c r="O14" s="191"/>
    </row>
    <row r="15" spans="1:15" ht="14.4" customHeight="1" x14ac:dyDescent="0.3">
      <c r="A15" s="143" t="s">
        <v>26</v>
      </c>
      <c r="B15" s="143"/>
      <c r="C15" s="143"/>
      <c r="D15" s="143"/>
      <c r="F15" s="189"/>
      <c r="G15" s="189"/>
      <c r="H15" s="189"/>
      <c r="I15" s="189"/>
      <c r="J15" s="150"/>
      <c r="L15" s="192" t="s">
        <v>77</v>
      </c>
      <c r="M15" s="192"/>
      <c r="N15" s="192"/>
      <c r="O15" s="192"/>
    </row>
    <row r="16" spans="1:15" ht="14.4" customHeight="1" x14ac:dyDescent="0.3">
      <c r="A16" s="22">
        <v>2021</v>
      </c>
      <c r="B16" s="23" t="s">
        <v>23</v>
      </c>
      <c r="C16" s="23" t="s">
        <v>24</v>
      </c>
      <c r="D16" s="23" t="s">
        <v>25</v>
      </c>
      <c r="F16" s="190" t="s">
        <v>77</v>
      </c>
      <c r="G16" s="190"/>
      <c r="H16" s="190"/>
      <c r="I16" s="190"/>
      <c r="J16" s="145"/>
      <c r="L16" s="132">
        <v>2020</v>
      </c>
      <c r="M16" s="88" t="s">
        <v>23</v>
      </c>
      <c r="N16" s="88" t="s">
        <v>24</v>
      </c>
      <c r="O16" s="88" t="s">
        <v>25</v>
      </c>
    </row>
    <row r="17" spans="1:15" x14ac:dyDescent="0.3">
      <c r="A17" s="24" t="s">
        <v>21</v>
      </c>
      <c r="B17" s="25">
        <v>78642</v>
      </c>
      <c r="C17" s="25">
        <v>222753</v>
      </c>
      <c r="D17" s="28">
        <v>9371915</v>
      </c>
      <c r="F17" s="22">
        <v>2021</v>
      </c>
      <c r="G17" s="23" t="s">
        <v>23</v>
      </c>
      <c r="H17" s="23" t="s">
        <v>24</v>
      </c>
      <c r="I17" s="23" t="s">
        <v>25</v>
      </c>
      <c r="J17" s="23" t="s">
        <v>54</v>
      </c>
      <c r="L17" s="133" t="s">
        <v>81</v>
      </c>
      <c r="M17" s="127">
        <v>22903</v>
      </c>
      <c r="N17" s="127">
        <v>141428</v>
      </c>
      <c r="O17" s="151">
        <v>2291700</v>
      </c>
    </row>
    <row r="18" spans="1:15" ht="14.4" customHeight="1" x14ac:dyDescent="0.3">
      <c r="A18" s="142"/>
      <c r="B18" s="142"/>
      <c r="C18" s="142"/>
      <c r="D18" s="142"/>
      <c r="F18" s="24" t="s">
        <v>21</v>
      </c>
      <c r="G18" s="20">
        <v>25154</v>
      </c>
      <c r="H18" s="20">
        <v>154970</v>
      </c>
      <c r="I18" s="151">
        <v>2542700</v>
      </c>
      <c r="J18" s="176" t="s">
        <v>46</v>
      </c>
      <c r="L18" s="133" t="s">
        <v>57</v>
      </c>
      <c r="M18" s="127">
        <v>23350</v>
      </c>
      <c r="N18" s="127">
        <v>143956</v>
      </c>
      <c r="O18" s="151">
        <v>2335400</v>
      </c>
    </row>
    <row r="19" spans="1:15" x14ac:dyDescent="0.3">
      <c r="A19" s="187" t="s">
        <v>77</v>
      </c>
      <c r="B19" s="187"/>
      <c r="C19" s="187"/>
      <c r="D19" s="187"/>
      <c r="F19" s="24" t="s">
        <v>22</v>
      </c>
      <c r="G19" s="20">
        <v>26154</v>
      </c>
      <c r="H19" s="20">
        <v>160000</v>
      </c>
      <c r="I19" s="151">
        <f>G19*100</f>
        <v>2615400</v>
      </c>
      <c r="J19" s="176" t="s">
        <v>46</v>
      </c>
      <c r="K19" s="29"/>
      <c r="L19" s="133" t="s">
        <v>56</v>
      </c>
      <c r="M19" s="127">
        <v>24070</v>
      </c>
      <c r="N19" s="127">
        <v>148303</v>
      </c>
      <c r="O19" s="151">
        <v>2409400</v>
      </c>
    </row>
    <row r="20" spans="1:15" x14ac:dyDescent="0.3">
      <c r="A20" s="2">
        <v>2021</v>
      </c>
      <c r="B20" s="5" t="s">
        <v>23</v>
      </c>
      <c r="C20" s="5" t="s">
        <v>24</v>
      </c>
      <c r="D20" s="5" t="s">
        <v>25</v>
      </c>
      <c r="F20" s="24" t="s">
        <v>61</v>
      </c>
      <c r="G20" s="20">
        <v>27154</v>
      </c>
      <c r="H20" s="20">
        <v>165000</v>
      </c>
      <c r="I20" s="151">
        <f t="shared" ref="I20:I23" si="0">G20*100</f>
        <v>2715400</v>
      </c>
      <c r="J20" s="176" t="s">
        <v>46</v>
      </c>
      <c r="L20" s="61"/>
      <c r="M20" s="61"/>
      <c r="N20" s="61"/>
      <c r="O20" s="168">
        <f>SUM(O17:O19)</f>
        <v>7036500</v>
      </c>
    </row>
    <row r="21" spans="1:15" x14ac:dyDescent="0.3">
      <c r="A21" t="s">
        <v>21</v>
      </c>
      <c r="B21" s="18">
        <v>25154</v>
      </c>
      <c r="C21" s="18">
        <v>154970</v>
      </c>
      <c r="D21" s="28">
        <v>2542700</v>
      </c>
      <c r="F21" s="24" t="s">
        <v>60</v>
      </c>
      <c r="G21" s="20">
        <v>28154</v>
      </c>
      <c r="H21" s="20">
        <v>170000</v>
      </c>
      <c r="I21" s="152">
        <f t="shared" si="0"/>
        <v>2815400</v>
      </c>
      <c r="J21" s="178" t="s">
        <v>41</v>
      </c>
      <c r="L21" s="153"/>
      <c r="M21" s="153"/>
      <c r="N21" s="153"/>
      <c r="O21" s="153"/>
    </row>
    <row r="22" spans="1:15" ht="14.4" customHeight="1" x14ac:dyDescent="0.3">
      <c r="A22" s="142"/>
      <c r="B22" s="142"/>
      <c r="C22" s="142"/>
      <c r="D22" s="142"/>
      <c r="F22" s="24" t="s">
        <v>59</v>
      </c>
      <c r="G22" s="20">
        <v>29154</v>
      </c>
      <c r="H22" s="20">
        <v>175000</v>
      </c>
      <c r="I22" s="152">
        <f t="shared" si="0"/>
        <v>2915400</v>
      </c>
      <c r="J22" s="178" t="s">
        <v>41</v>
      </c>
      <c r="L22" s="192" t="s">
        <v>79</v>
      </c>
      <c r="M22" s="192"/>
      <c r="N22" s="192"/>
      <c r="O22" s="192"/>
    </row>
    <row r="23" spans="1:15" x14ac:dyDescent="0.3">
      <c r="F23" s="24" t="s">
        <v>58</v>
      </c>
      <c r="G23" s="20">
        <v>30154</v>
      </c>
      <c r="H23" s="20">
        <v>180000</v>
      </c>
      <c r="I23" s="152">
        <f t="shared" si="0"/>
        <v>3015400</v>
      </c>
      <c r="J23" s="178" t="s">
        <v>41</v>
      </c>
      <c r="L23" s="134">
        <v>2020</v>
      </c>
      <c r="M23" s="88" t="s">
        <v>54</v>
      </c>
      <c r="N23" s="88" t="s">
        <v>24</v>
      </c>
      <c r="O23" s="88" t="s">
        <v>25</v>
      </c>
    </row>
    <row r="24" spans="1:15" ht="15.6" x14ac:dyDescent="0.3">
      <c r="A24" s="46" t="s">
        <v>19</v>
      </c>
      <c r="I24" s="183">
        <f>SUM(I18:I23)</f>
        <v>16619700</v>
      </c>
      <c r="L24" s="135" t="s">
        <v>74</v>
      </c>
      <c r="M24" s="127">
        <f>30+86951+4+1385+268+134+28</f>
        <v>88800</v>
      </c>
      <c r="N24" s="151">
        <f>(30*100)+(86951*200)+(4*300)+(1385*400)+(268*600)+(134*800)+(28*1000)</f>
        <v>18244400</v>
      </c>
      <c r="O24" s="173" t="s">
        <v>46</v>
      </c>
    </row>
    <row r="25" spans="1:15" x14ac:dyDescent="0.3">
      <c r="A25" s="16" t="s">
        <v>85</v>
      </c>
      <c r="B25" s="28">
        <f>D13+D17+D21</f>
        <v>115557339</v>
      </c>
      <c r="F25" s="188"/>
      <c r="G25" s="188"/>
      <c r="H25" s="188"/>
      <c r="I25" s="188"/>
      <c r="J25" s="131"/>
      <c r="L25" s="135" t="s">
        <v>73</v>
      </c>
      <c r="M25" s="127">
        <f>7+82328+109+153+32+3+1</f>
        <v>82633</v>
      </c>
      <c r="N25" s="152">
        <f>(7*100)+(82328*200)+(109*400)+(153*600)+(32*800)+(3*1000)+(1*1200)</f>
        <v>16631500</v>
      </c>
      <c r="O25" s="175" t="s">
        <v>41</v>
      </c>
    </row>
    <row r="26" spans="1:15" x14ac:dyDescent="0.3">
      <c r="A26" s="16" t="s">
        <v>28</v>
      </c>
      <c r="B26" s="28">
        <v>99443297</v>
      </c>
      <c r="L26" s="135" t="s">
        <v>16</v>
      </c>
      <c r="M26" s="127">
        <f>4+31924+28+15+5</f>
        <v>31976</v>
      </c>
      <c r="N26" s="151">
        <f>(4*100)+(31924*200)+(28*400)+(15*600)+(5*800)</f>
        <v>6409400</v>
      </c>
      <c r="O26" s="173" t="s">
        <v>46</v>
      </c>
    </row>
    <row r="27" spans="1:15" ht="14.4" customHeight="1" x14ac:dyDescent="0.3">
      <c r="F27" s="190" t="s">
        <v>79</v>
      </c>
      <c r="G27" s="190"/>
      <c r="H27" s="190"/>
      <c r="I27" s="190"/>
      <c r="J27" s="145"/>
      <c r="L27" s="135" t="s">
        <v>17</v>
      </c>
      <c r="M27" s="127">
        <f>1+8723+101+48+4+85+22+6</f>
        <v>8990</v>
      </c>
      <c r="N27" s="151">
        <f>(1*100)+(8723*200)+(101*400)+(48*600)+(4*700)+(85*800)+(22*1000)+(6*1200)</f>
        <v>1913900</v>
      </c>
      <c r="O27" s="173" t="s">
        <v>46</v>
      </c>
    </row>
    <row r="28" spans="1:15" ht="15.6" x14ac:dyDescent="0.3">
      <c r="A28" s="185" t="s">
        <v>102</v>
      </c>
      <c r="F28" s="22">
        <v>2021</v>
      </c>
      <c r="G28" s="23" t="s">
        <v>24</v>
      </c>
      <c r="H28" s="23" t="s">
        <v>25</v>
      </c>
      <c r="I28" s="23" t="s">
        <v>54</v>
      </c>
      <c r="J28" s="144"/>
      <c r="N28" s="168">
        <f>SUM(N24:N27)</f>
        <v>43199200</v>
      </c>
    </row>
    <row r="29" spans="1:15" ht="14.4" customHeight="1" x14ac:dyDescent="0.3">
      <c r="A29" s="184" t="s">
        <v>86</v>
      </c>
      <c r="B29" s="183">
        <f>I14+I24+H35+H41</f>
        <v>234833215</v>
      </c>
      <c r="C29" s="130">
        <f>B26+B45</f>
        <v>158819462.711</v>
      </c>
      <c r="D29" t="s">
        <v>100</v>
      </c>
      <c r="F29" s="24" t="s">
        <v>21</v>
      </c>
      <c r="G29" s="149">
        <v>106016</v>
      </c>
      <c r="H29" s="151">
        <f>G29*200</f>
        <v>21203200</v>
      </c>
      <c r="I29" s="174" t="s">
        <v>46</v>
      </c>
      <c r="L29" s="154"/>
      <c r="M29" s="154"/>
      <c r="N29" s="154"/>
      <c r="O29" s="154"/>
    </row>
    <row r="30" spans="1:15" ht="14.4" customHeight="1" x14ac:dyDescent="0.3">
      <c r="A30" s="148" t="s">
        <v>46</v>
      </c>
      <c r="B30" s="170">
        <f>I8+I9+I10+I18+I19+I20+H29+H30+H31+H32+H40</f>
        <v>156180615</v>
      </c>
      <c r="C30" s="159">
        <f>B29-C29</f>
        <v>76013752.289000005</v>
      </c>
      <c r="D30" t="s">
        <v>99</v>
      </c>
      <c r="F30" s="24" t="s">
        <v>22</v>
      </c>
      <c r="G30" s="149">
        <v>106016</v>
      </c>
      <c r="H30" s="151">
        <f t="shared" ref="H30:H34" si="1">G30*200</f>
        <v>21203200</v>
      </c>
      <c r="I30" s="174" t="s">
        <v>46</v>
      </c>
      <c r="L30" s="193" t="s">
        <v>80</v>
      </c>
      <c r="M30" s="193"/>
      <c r="N30" s="193"/>
      <c r="O30" s="193"/>
    </row>
    <row r="31" spans="1:15" x14ac:dyDescent="0.3">
      <c r="A31" t="s">
        <v>87</v>
      </c>
      <c r="B31" s="171">
        <f>H33+H34</f>
        <v>42406400</v>
      </c>
      <c r="F31" s="24" t="s">
        <v>61</v>
      </c>
      <c r="G31" s="149">
        <v>106016</v>
      </c>
      <c r="H31" s="151">
        <f t="shared" si="1"/>
        <v>21203200</v>
      </c>
      <c r="I31" s="174" t="s">
        <v>46</v>
      </c>
      <c r="L31" s="134">
        <v>2020</v>
      </c>
      <c r="M31" s="88" t="s">
        <v>24</v>
      </c>
      <c r="N31" s="88" t="s">
        <v>25</v>
      </c>
      <c r="O31" s="88" t="s">
        <v>54</v>
      </c>
    </row>
    <row r="32" spans="1:15" x14ac:dyDescent="0.3">
      <c r="A32" t="s">
        <v>88</v>
      </c>
      <c r="B32" s="171">
        <f>I21+I22+I23+I12</f>
        <v>17246200</v>
      </c>
      <c r="F32" s="24" t="s">
        <v>60</v>
      </c>
      <c r="G32" s="149">
        <v>106016</v>
      </c>
      <c r="H32" s="151">
        <f t="shared" si="1"/>
        <v>21203200</v>
      </c>
      <c r="I32" s="174" t="s">
        <v>46</v>
      </c>
      <c r="L32" s="133" t="s">
        <v>73</v>
      </c>
      <c r="M32" s="136">
        <v>531</v>
      </c>
      <c r="N32" s="152">
        <v>159300</v>
      </c>
      <c r="O32" s="175" t="s">
        <v>41</v>
      </c>
    </row>
    <row r="33" spans="1:15" x14ac:dyDescent="0.3">
      <c r="B33" s="172">
        <f>I11+I13</f>
        <v>19000000</v>
      </c>
      <c r="F33" s="24" t="s">
        <v>59</v>
      </c>
      <c r="G33" s="149">
        <v>106016</v>
      </c>
      <c r="H33" s="152">
        <f t="shared" si="1"/>
        <v>21203200</v>
      </c>
      <c r="I33" s="179" t="s">
        <v>41</v>
      </c>
      <c r="L33" s="137" t="s">
        <v>17</v>
      </c>
      <c r="M33" s="136">
        <v>51</v>
      </c>
      <c r="N33" s="152">
        <v>15300</v>
      </c>
      <c r="O33" s="175" t="s">
        <v>41</v>
      </c>
    </row>
    <row r="34" spans="1:15" x14ac:dyDescent="0.3">
      <c r="C34" s="130"/>
      <c r="F34" s="24" t="s">
        <v>58</v>
      </c>
      <c r="G34" s="149">
        <v>106016</v>
      </c>
      <c r="H34" s="152">
        <f t="shared" si="1"/>
        <v>21203200</v>
      </c>
      <c r="I34" s="179" t="s">
        <v>41</v>
      </c>
      <c r="L34" s="61"/>
      <c r="M34" s="61"/>
      <c r="N34" s="168">
        <f>SUM(N32:N33)</f>
        <v>174600</v>
      </c>
    </row>
    <row r="35" spans="1:15" ht="15.6" x14ac:dyDescent="0.3">
      <c r="A35" s="185" t="s">
        <v>94</v>
      </c>
      <c r="B35" s="130"/>
      <c r="C35" s="130"/>
      <c r="H35" s="183">
        <f>SUM(H29:H34)</f>
        <v>127219200</v>
      </c>
      <c r="L35" s="153"/>
      <c r="M35" s="153"/>
      <c r="N35" s="153"/>
      <c r="O35" s="153"/>
    </row>
    <row r="36" spans="1:15" x14ac:dyDescent="0.3">
      <c r="A36" t="s">
        <v>98</v>
      </c>
      <c r="B36" s="169">
        <f>O13+O20+N28+N34+N37</f>
        <v>129051660</v>
      </c>
      <c r="C36" s="130">
        <f>C29</f>
        <v>158819462.711</v>
      </c>
      <c r="D36" t="s">
        <v>100</v>
      </c>
      <c r="F36" s="188"/>
      <c r="G36" s="188"/>
      <c r="H36" s="188"/>
      <c r="I36" s="188"/>
      <c r="J36" s="158"/>
      <c r="L36" s="137" t="s">
        <v>17</v>
      </c>
      <c r="M36" s="149">
        <f>120408</f>
        <v>120408</v>
      </c>
      <c r="N36" s="151">
        <f>36122400</f>
        <v>36122400</v>
      </c>
      <c r="O36" s="174" t="s">
        <v>46</v>
      </c>
    </row>
    <row r="37" spans="1:15" x14ac:dyDescent="0.3">
      <c r="A37" s="148" t="s">
        <v>46</v>
      </c>
      <c r="B37" s="166">
        <f>O13+O20+N28-N25+N36</f>
        <v>112245560</v>
      </c>
      <c r="C37" s="180">
        <f>C36-B36</f>
        <v>29767802.710999995</v>
      </c>
      <c r="L37" s="61"/>
      <c r="M37" s="61"/>
      <c r="N37" s="168">
        <f>N36</f>
        <v>36122400</v>
      </c>
    </row>
    <row r="38" spans="1:15" x14ac:dyDescent="0.3">
      <c r="A38" t="s">
        <v>87</v>
      </c>
      <c r="B38" s="167">
        <f>N25+N34</f>
        <v>16806100</v>
      </c>
      <c r="F38" s="194" t="s">
        <v>80</v>
      </c>
      <c r="G38" s="194"/>
      <c r="H38" s="194"/>
      <c r="I38" s="194"/>
      <c r="J38" s="146"/>
      <c r="L38" s="61"/>
      <c r="M38" s="61"/>
      <c r="N38" s="138"/>
    </row>
    <row r="39" spans="1:15" x14ac:dyDescent="0.3">
      <c r="A39" t="s">
        <v>88</v>
      </c>
      <c r="B39">
        <v>0</v>
      </c>
      <c r="F39" s="132">
        <v>2020</v>
      </c>
      <c r="G39" s="88" t="s">
        <v>24</v>
      </c>
      <c r="H39" s="88" t="s">
        <v>25</v>
      </c>
      <c r="I39" s="88" t="s">
        <v>54</v>
      </c>
      <c r="L39" s="61"/>
      <c r="M39" s="61"/>
      <c r="N39" s="138"/>
    </row>
    <row r="40" spans="1:15" x14ac:dyDescent="0.3">
      <c r="F40" s="137" t="s">
        <v>17</v>
      </c>
      <c r="G40" s="149">
        <f>120408</f>
        <v>120408</v>
      </c>
      <c r="H40" s="151">
        <f>36122400</f>
        <v>36122400</v>
      </c>
      <c r="I40" s="174" t="s">
        <v>46</v>
      </c>
      <c r="L40" s="61"/>
      <c r="M40" s="61"/>
      <c r="N40" s="138"/>
    </row>
    <row r="41" spans="1:15" x14ac:dyDescent="0.3">
      <c r="H41" s="183">
        <f>H40</f>
        <v>36122400</v>
      </c>
      <c r="L41" s="61"/>
      <c r="M41" s="61"/>
      <c r="N41" s="138"/>
    </row>
    <row r="42" spans="1:15" x14ac:dyDescent="0.3">
      <c r="A42" s="2" t="s">
        <v>101</v>
      </c>
      <c r="F42" s="188"/>
      <c r="G42" s="188"/>
      <c r="H42" s="188"/>
      <c r="I42" s="188"/>
      <c r="J42" s="158"/>
      <c r="L42" s="61"/>
      <c r="M42" s="61"/>
      <c r="N42" s="138"/>
    </row>
    <row r="43" spans="1:15" x14ac:dyDescent="0.3">
      <c r="A43" t="s">
        <v>29</v>
      </c>
      <c r="B43" s="19">
        <v>41693900</v>
      </c>
      <c r="C43" s="130"/>
    </row>
    <row r="44" spans="1:15" ht="14.4" customHeight="1" x14ac:dyDescent="0.3">
      <c r="A44" t="s">
        <v>30</v>
      </c>
      <c r="B44" s="19">
        <v>17682265.710999999</v>
      </c>
      <c r="I44" s="130"/>
      <c r="J44" s="130"/>
    </row>
    <row r="45" spans="1:15" x14ac:dyDescent="0.3">
      <c r="A45" s="16" t="s">
        <v>31</v>
      </c>
      <c r="B45" s="28">
        <f>B43+B44</f>
        <v>59376165.710999995</v>
      </c>
      <c r="I45" s="141"/>
      <c r="J45" s="141"/>
    </row>
    <row r="47" spans="1:15" x14ac:dyDescent="0.3">
      <c r="A47" s="31"/>
    </row>
    <row r="51" spans="1:3" x14ac:dyDescent="0.3">
      <c r="B51" s="130"/>
    </row>
    <row r="52" spans="1:3" x14ac:dyDescent="0.3">
      <c r="A52" s="129" t="s">
        <v>89</v>
      </c>
    </row>
    <row r="53" spans="1:3" x14ac:dyDescent="0.3">
      <c r="A53" s="181" t="s">
        <v>90</v>
      </c>
      <c r="B53" s="156">
        <f>' COVID STATISTICS'!D36+' COVID STATISTICS'!D37</f>
        <v>384492732</v>
      </c>
    </row>
    <row r="54" spans="1:3" x14ac:dyDescent="0.3">
      <c r="A54" s="181" t="s">
        <v>91</v>
      </c>
      <c r="B54" s="156">
        <f>' COVID STATISTICS'!D38+' COVID STATISTICS'!E38</f>
        <v>81166965.710999995</v>
      </c>
    </row>
    <row r="55" spans="1:3" x14ac:dyDescent="0.3">
      <c r="A55" s="181"/>
      <c r="B55" s="156">
        <f>B53+B54</f>
        <v>465659697.71099997</v>
      </c>
    </row>
    <row r="56" spans="1:3" x14ac:dyDescent="0.3">
      <c r="A56" s="181"/>
    </row>
    <row r="57" spans="1:3" x14ac:dyDescent="0.3">
      <c r="A57" s="181" t="s">
        <v>95</v>
      </c>
      <c r="B57" s="157">
        <f>' COVID STATISTICS'!D17</f>
        <v>284966335</v>
      </c>
      <c r="C57" s="161"/>
    </row>
    <row r="58" spans="1:3" x14ac:dyDescent="0.3">
      <c r="A58" s="181" t="s">
        <v>92</v>
      </c>
      <c r="B58" s="157">
        <f>' COVID STATISTICS'!F17</f>
        <v>21790800</v>
      </c>
      <c r="C58" s="161"/>
    </row>
    <row r="59" spans="1:3" x14ac:dyDescent="0.3">
      <c r="A59" s="181"/>
      <c r="B59" s="157">
        <f>B57+B58</f>
        <v>306757135</v>
      </c>
    </row>
    <row r="60" spans="1:3" x14ac:dyDescent="0.3">
      <c r="B60" s="157"/>
    </row>
    <row r="61" spans="1:3" x14ac:dyDescent="0.3">
      <c r="A61" s="162" t="s">
        <v>93</v>
      </c>
      <c r="B61" s="165">
        <f>' COVID STATISTICS'!B17</f>
        <v>306757135</v>
      </c>
    </row>
    <row r="62" spans="1:3" x14ac:dyDescent="0.3">
      <c r="A62" s="162" t="s">
        <v>96</v>
      </c>
      <c r="B62" s="165">
        <f>' COVID STATISTICS'!D17</f>
        <v>284966335</v>
      </c>
      <c r="C62" s="160"/>
    </row>
    <row r="63" spans="1:3" x14ac:dyDescent="0.3">
      <c r="A63" s="162" t="s">
        <v>97</v>
      </c>
      <c r="B63" s="165">
        <f>' COVID STATISTICS'!F17</f>
        <v>21790800</v>
      </c>
      <c r="C63" s="160"/>
    </row>
    <row r="64" spans="1:3" x14ac:dyDescent="0.3">
      <c r="A64" s="162"/>
      <c r="B64" s="165"/>
    </row>
    <row r="101" spans="2:5" x14ac:dyDescent="0.3">
      <c r="B101" s="162">
        <v>1</v>
      </c>
      <c r="C101" s="162">
        <v>2</v>
      </c>
      <c r="D101" s="162">
        <v>3</v>
      </c>
      <c r="E101" s="162">
        <v>4</v>
      </c>
    </row>
    <row r="102" spans="2:5" x14ac:dyDescent="0.3">
      <c r="B102" s="163">
        <f>' COVID STATISTICS'!D15</f>
        <v>50451335</v>
      </c>
      <c r="C102" s="163">
        <f>' COVID STATISTICS'!G6+' COVID STATISTICS'!G7+' COVID STATISTICS'!G8+' COVID STATISTICS'!G9</f>
        <v>9300900</v>
      </c>
      <c r="D102" s="163">
        <f>' COVID STATISTICS'!I15-' COVID STATISTICS'!I11</f>
        <v>114606300</v>
      </c>
      <c r="E102" s="163">
        <f>' COVID STATISTICS'!K6+' COVID STATISTICS'!K7+' COVID STATISTICS'!K8+' COVID STATISTICS'!K9+' COVID STATISTICS'!K14</f>
        <v>110607800</v>
      </c>
    </row>
    <row r="103" spans="2:5" x14ac:dyDescent="0.3">
      <c r="B103" s="162"/>
      <c r="C103" s="163">
        <f>' COVID STATISTICS'!G10+' COVID STATISTICS'!G11</f>
        <v>4984700</v>
      </c>
      <c r="D103" s="164">
        <f>' COVID STATISTICS'!I11</f>
        <v>16631500</v>
      </c>
      <c r="E103" s="163">
        <f>' COVID STATISTICS'!K11+' COVID STATISTICS'!K13</f>
        <v>174600</v>
      </c>
    </row>
  </sheetData>
  <mergeCells count="17">
    <mergeCell ref="F42:I42"/>
    <mergeCell ref="L5:O5"/>
    <mergeCell ref="L14:O14"/>
    <mergeCell ref="L15:O15"/>
    <mergeCell ref="L22:O22"/>
    <mergeCell ref="L30:O30"/>
    <mergeCell ref="F25:I25"/>
    <mergeCell ref="F27:I27"/>
    <mergeCell ref="F38:I38"/>
    <mergeCell ref="A6:D6"/>
    <mergeCell ref="A19:D19"/>
    <mergeCell ref="F36:I36"/>
    <mergeCell ref="A5:D5"/>
    <mergeCell ref="F16:I16"/>
    <mergeCell ref="F15:I15"/>
    <mergeCell ref="A14:D14"/>
    <mergeCell ref="F5:J5"/>
  </mergeCells>
  <pageMargins left="0.25" right="0.25" top="0.75" bottom="0.75" header="0.3" footer="0.3"/>
  <pageSetup scale="68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workbookViewId="0">
      <selection activeCell="C21" sqref="C21"/>
    </sheetView>
  </sheetViews>
  <sheetFormatPr defaultRowHeight="14.4" x14ac:dyDescent="0.3"/>
  <cols>
    <col min="1" max="1" width="29.6640625" bestFit="1" customWidth="1"/>
    <col min="2" max="2" width="21.109375" customWidth="1"/>
    <col min="3" max="3" width="11.21875" customWidth="1"/>
    <col min="4" max="4" width="15.33203125" customWidth="1"/>
    <col min="5" max="5" width="14.6640625" customWidth="1"/>
    <col min="6" max="6" width="13.5546875" customWidth="1"/>
  </cols>
  <sheetData>
    <row r="1" spans="1:6" x14ac:dyDescent="0.3">
      <c r="A1" s="13" t="s">
        <v>78</v>
      </c>
    </row>
    <row r="3" spans="1:6" s="6" customFormat="1" ht="31.2" x14ac:dyDescent="0.3">
      <c r="A3" s="14" t="s">
        <v>15</v>
      </c>
      <c r="B3" s="15"/>
      <c r="C3" s="15" t="s">
        <v>6</v>
      </c>
      <c r="D3" s="15" t="s">
        <v>7</v>
      </c>
      <c r="E3" s="15" t="s">
        <v>8</v>
      </c>
      <c r="F3" s="15" t="s">
        <v>9</v>
      </c>
    </row>
    <row r="4" spans="1:6" s="2" customFormat="1" ht="18.600000000000001" customHeight="1" x14ac:dyDescent="0.3">
      <c r="A4" s="195" t="s">
        <v>1</v>
      </c>
      <c r="B4" s="8" t="s">
        <v>2</v>
      </c>
      <c r="C4" s="7">
        <v>0</v>
      </c>
      <c r="D4" s="7">
        <v>89867</v>
      </c>
      <c r="E4" s="9">
        <v>99917</v>
      </c>
      <c r="F4" s="7">
        <v>70000</v>
      </c>
    </row>
    <row r="5" spans="1:6" s="4" customFormat="1" ht="18" customHeight="1" x14ac:dyDescent="0.3">
      <c r="A5" s="195"/>
      <c r="B5" s="8" t="s">
        <v>3</v>
      </c>
      <c r="C5" s="7"/>
      <c r="D5" s="7">
        <v>23350</v>
      </c>
      <c r="E5" s="7">
        <v>25379</v>
      </c>
      <c r="F5" s="7"/>
    </row>
    <row r="6" spans="1:6" ht="30.6" customHeight="1" x14ac:dyDescent="0.3">
      <c r="A6" s="195"/>
      <c r="B6" s="8" t="s">
        <v>4</v>
      </c>
      <c r="C6" s="7"/>
      <c r="D6" s="7">
        <v>71973</v>
      </c>
      <c r="E6" s="7">
        <v>81033</v>
      </c>
      <c r="F6" s="7"/>
    </row>
    <row r="7" spans="1:6" x14ac:dyDescent="0.3">
      <c r="A7" s="195"/>
      <c r="B7" s="10" t="s">
        <v>5</v>
      </c>
      <c r="C7" s="11">
        <v>43937</v>
      </c>
      <c r="D7" s="11">
        <v>44032</v>
      </c>
      <c r="E7" s="11">
        <v>44227</v>
      </c>
      <c r="F7" s="11">
        <v>44686</v>
      </c>
    </row>
    <row r="8" spans="1:6" x14ac:dyDescent="0.3">
      <c r="A8" s="198"/>
      <c r="B8" s="198"/>
      <c r="C8" s="198"/>
      <c r="D8" s="198"/>
      <c r="E8" s="198"/>
      <c r="F8" s="198"/>
    </row>
    <row r="9" spans="1:6" s="3" customFormat="1" ht="18" customHeight="1" x14ac:dyDescent="0.3">
      <c r="A9" s="195" t="s">
        <v>10</v>
      </c>
      <c r="B9" s="8" t="s">
        <v>2</v>
      </c>
      <c r="C9" s="7">
        <v>0</v>
      </c>
      <c r="D9" s="7">
        <v>146287</v>
      </c>
      <c r="E9" s="9">
        <v>206904</v>
      </c>
      <c r="F9" s="7">
        <v>135000</v>
      </c>
    </row>
    <row r="10" spans="1:6" ht="19.8" customHeight="1" x14ac:dyDescent="0.3">
      <c r="A10" s="195"/>
      <c r="B10" s="8" t="s">
        <v>11</v>
      </c>
      <c r="C10" s="7"/>
      <c r="D10" s="7">
        <v>80429</v>
      </c>
      <c r="E10" s="7">
        <v>111404</v>
      </c>
      <c r="F10" s="7"/>
    </row>
    <row r="11" spans="1:6" ht="18" customHeight="1" x14ac:dyDescent="0.3">
      <c r="A11" s="195"/>
      <c r="B11" s="8" t="s">
        <v>12</v>
      </c>
      <c r="C11" s="7"/>
      <c r="D11" s="7">
        <v>65858</v>
      </c>
      <c r="E11" s="7">
        <v>95500</v>
      </c>
      <c r="F11" s="7"/>
    </row>
    <row r="12" spans="1:6" ht="21" customHeight="1" x14ac:dyDescent="0.3">
      <c r="A12" s="195"/>
      <c r="B12" s="8" t="s">
        <v>5</v>
      </c>
      <c r="C12" s="11">
        <v>43937</v>
      </c>
      <c r="D12" s="11">
        <v>44032</v>
      </c>
      <c r="E12" s="11">
        <v>43861</v>
      </c>
      <c r="F12" s="11">
        <v>44686</v>
      </c>
    </row>
    <row r="13" spans="1:6" x14ac:dyDescent="0.3">
      <c r="A13" s="198"/>
      <c r="B13" s="198"/>
      <c r="C13" s="198"/>
      <c r="D13" s="198"/>
      <c r="E13" s="198"/>
      <c r="F13" s="198"/>
    </row>
    <row r="14" spans="1:6" ht="14.4" customHeight="1" x14ac:dyDescent="0.3">
      <c r="A14" s="196" t="s">
        <v>13</v>
      </c>
      <c r="B14" s="8" t="s">
        <v>2</v>
      </c>
      <c r="C14" s="7">
        <v>118100</v>
      </c>
      <c r="D14" s="7">
        <v>120730</v>
      </c>
      <c r="E14" s="12">
        <v>122524</v>
      </c>
      <c r="F14" s="7">
        <v>124000</v>
      </c>
    </row>
    <row r="15" spans="1:6" x14ac:dyDescent="0.3">
      <c r="A15" s="197"/>
      <c r="B15" s="8" t="s">
        <v>5</v>
      </c>
      <c r="C15" s="11">
        <v>43937</v>
      </c>
      <c r="D15" s="11">
        <v>44032</v>
      </c>
      <c r="E15" s="11">
        <v>44227</v>
      </c>
      <c r="F15" s="11">
        <v>44686</v>
      </c>
    </row>
    <row r="16" spans="1:6" x14ac:dyDescent="0.3">
      <c r="A16" s="198"/>
      <c r="B16" s="198"/>
      <c r="C16" s="198"/>
      <c r="D16" s="198"/>
      <c r="E16" s="198"/>
      <c r="F16" s="198"/>
    </row>
    <row r="17" spans="1:6" x14ac:dyDescent="0.3">
      <c r="A17" s="195" t="s">
        <v>14</v>
      </c>
      <c r="B17" s="8" t="s">
        <v>2</v>
      </c>
      <c r="C17" s="7">
        <v>0</v>
      </c>
      <c r="D17" s="7">
        <v>150287</v>
      </c>
      <c r="E17" s="12">
        <v>306005</v>
      </c>
      <c r="F17" s="7">
        <v>340000</v>
      </c>
    </row>
    <row r="18" spans="1:6" x14ac:dyDescent="0.3">
      <c r="A18" s="195"/>
      <c r="B18" s="8" t="s">
        <v>11</v>
      </c>
      <c r="C18" s="7"/>
      <c r="D18" s="7">
        <v>57435</v>
      </c>
      <c r="E18" s="7">
        <v>136700</v>
      </c>
      <c r="F18" s="7"/>
    </row>
    <row r="19" spans="1:6" x14ac:dyDescent="0.3">
      <c r="A19" s="195"/>
      <c r="B19" s="8" t="s">
        <v>12</v>
      </c>
      <c r="C19" s="7"/>
      <c r="D19" s="7">
        <v>92852</v>
      </c>
      <c r="E19" s="7">
        <v>169305</v>
      </c>
      <c r="F19" s="7"/>
    </row>
    <row r="20" spans="1:6" x14ac:dyDescent="0.3">
      <c r="A20" s="195"/>
      <c r="B20" s="8" t="s">
        <v>5</v>
      </c>
      <c r="C20" s="11">
        <v>43937</v>
      </c>
      <c r="D20" s="11">
        <v>44032</v>
      </c>
      <c r="E20" s="11">
        <v>44227</v>
      </c>
      <c r="F20" s="11">
        <v>44680</v>
      </c>
    </row>
  </sheetData>
  <mergeCells count="7">
    <mergeCell ref="A4:A7"/>
    <mergeCell ref="A9:A12"/>
    <mergeCell ref="A14:A15"/>
    <mergeCell ref="A17:A20"/>
    <mergeCell ref="A8:F8"/>
    <mergeCell ref="A13:F13"/>
    <mergeCell ref="A16:F16"/>
  </mergeCells>
  <pageMargins left="0.25" right="0.25" top="0.75" bottom="0.75" header="0.3" footer="0.3"/>
  <pageSetup scale="95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1"/>
  <sheetViews>
    <sheetView topLeftCell="A12" zoomScale="78" zoomScaleNormal="70" workbookViewId="0">
      <pane xSplit="1" topLeftCell="B1" activePane="topRight" state="frozen"/>
      <selection pane="topRight" activeCell="K9" activeCellId="9" sqref="D6 G6 I6 I7 I8 I9 K6 K7 K8 K9"/>
    </sheetView>
  </sheetViews>
  <sheetFormatPr defaultRowHeight="14.4" x14ac:dyDescent="0.3"/>
  <cols>
    <col min="1" max="1" width="12.109375" style="31" customWidth="1"/>
    <col min="2" max="2" width="17.109375" style="30" bestFit="1" customWidth="1"/>
    <col min="3" max="3" width="15.5546875" bestFit="1" customWidth="1"/>
    <col min="4" max="4" width="18.5546875" bestFit="1" customWidth="1"/>
    <col min="5" max="5" width="17.44140625" bestFit="1" customWidth="1"/>
    <col min="6" max="6" width="16.33203125" bestFit="1" customWidth="1"/>
    <col min="7" max="7" width="16" customWidth="1"/>
    <col min="8" max="8" width="18.21875" bestFit="1" customWidth="1"/>
    <col min="9" max="9" width="15.88671875" customWidth="1"/>
    <col min="10" max="10" width="16.6640625" bestFit="1" customWidth="1"/>
    <col min="11" max="11" width="17.44140625" customWidth="1"/>
    <col min="12" max="12" width="16.6640625" bestFit="1" customWidth="1"/>
    <col min="13" max="13" width="15.5546875" bestFit="1" customWidth="1"/>
    <col min="14" max="14" width="17.5546875" bestFit="1" customWidth="1"/>
    <col min="15" max="15" width="16.33203125" bestFit="1" customWidth="1"/>
  </cols>
  <sheetData>
    <row r="1" spans="1:15" ht="15.6" x14ac:dyDescent="0.3">
      <c r="A1" s="215" t="s">
        <v>83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</row>
    <row r="2" spans="1:15" x14ac:dyDescent="0.3">
      <c r="A2" s="226">
        <v>2020</v>
      </c>
      <c r="B2" s="226"/>
      <c r="C2" s="226"/>
      <c r="D2" s="226"/>
      <c r="E2" s="226"/>
      <c r="F2" s="226"/>
      <c r="G2" s="226"/>
      <c r="H2" s="226"/>
      <c r="I2" s="226"/>
      <c r="J2" s="226"/>
      <c r="K2" s="226"/>
    </row>
    <row r="3" spans="1:15" x14ac:dyDescent="0.3">
      <c r="A3" s="105"/>
      <c r="B3" s="199" t="s">
        <v>72</v>
      </c>
      <c r="C3" s="199"/>
      <c r="D3" s="199"/>
      <c r="E3" s="199"/>
      <c r="F3" s="199"/>
      <c r="G3" s="200"/>
      <c r="H3" s="199" t="s">
        <v>71</v>
      </c>
      <c r="I3" s="199"/>
      <c r="J3" s="199"/>
      <c r="K3" s="199"/>
    </row>
    <row r="4" spans="1:15" ht="41.25" customHeight="1" x14ac:dyDescent="0.3">
      <c r="A4" s="227" t="s">
        <v>70</v>
      </c>
      <c r="B4" s="208" t="s">
        <v>76</v>
      </c>
      <c r="C4" s="208"/>
      <c r="D4" s="208"/>
      <c r="E4" s="205" t="s">
        <v>75</v>
      </c>
      <c r="F4" s="206"/>
      <c r="G4" s="207"/>
      <c r="H4" s="229" t="s">
        <v>66</v>
      </c>
      <c r="I4" s="230"/>
      <c r="J4" s="203" t="s">
        <v>65</v>
      </c>
      <c r="K4" s="204"/>
    </row>
    <row r="5" spans="1:15" ht="18.75" customHeight="1" x14ac:dyDescent="0.3">
      <c r="A5" s="228"/>
      <c r="B5" s="103" t="s">
        <v>23</v>
      </c>
      <c r="C5" s="101" t="s">
        <v>64</v>
      </c>
      <c r="D5" s="101" t="s">
        <v>62</v>
      </c>
      <c r="E5" s="102" t="s">
        <v>23</v>
      </c>
      <c r="F5" s="101" t="s">
        <v>64</v>
      </c>
      <c r="G5" s="104" t="s">
        <v>62</v>
      </c>
      <c r="H5" s="103" t="s">
        <v>63</v>
      </c>
      <c r="I5" s="101" t="s">
        <v>62</v>
      </c>
      <c r="J5" s="102" t="s">
        <v>63</v>
      </c>
      <c r="K5" s="101" t="s">
        <v>62</v>
      </c>
    </row>
    <row r="6" spans="1:15" ht="19.5" customHeight="1" x14ac:dyDescent="0.3">
      <c r="A6" s="100" t="s">
        <v>59</v>
      </c>
      <c r="B6" s="124">
        <v>70046</v>
      </c>
      <c r="C6" s="123">
        <v>194796</v>
      </c>
      <c r="D6" s="123">
        <v>7932375</v>
      </c>
      <c r="E6" s="123">
        <v>22644</v>
      </c>
      <c r="F6" s="123">
        <v>139566</v>
      </c>
      <c r="G6" s="128">
        <v>2264400</v>
      </c>
      <c r="H6" s="124">
        <v>72164</v>
      </c>
      <c r="I6" s="123">
        <f>H6*200</f>
        <v>14432800</v>
      </c>
      <c r="J6" s="122">
        <v>29981</v>
      </c>
      <c r="K6" s="122">
        <f>J6*300</f>
        <v>8994300</v>
      </c>
    </row>
    <row r="7" spans="1:15" x14ac:dyDescent="0.3">
      <c r="A7" s="99" t="s">
        <v>58</v>
      </c>
      <c r="B7" s="121">
        <v>70546</v>
      </c>
      <c r="C7" s="127">
        <v>196496</v>
      </c>
      <c r="D7" s="120">
        <v>8009700</v>
      </c>
      <c r="E7" s="127">
        <v>22903</v>
      </c>
      <c r="F7" s="127">
        <v>141428</v>
      </c>
      <c r="G7" s="126">
        <v>2291700</v>
      </c>
      <c r="H7" s="124">
        <f>115886+16786+6</f>
        <v>132678</v>
      </c>
      <c r="I7" s="123">
        <f>(115886*200)+(16786*400)+(6*600)</f>
        <v>29895200</v>
      </c>
      <c r="J7" s="122">
        <v>74558</v>
      </c>
      <c r="K7" s="122">
        <f>J7*300</f>
        <v>22367400</v>
      </c>
    </row>
    <row r="8" spans="1:15" ht="19.350000000000001" customHeight="1" x14ac:dyDescent="0.3">
      <c r="A8" s="99" t="s">
        <v>57</v>
      </c>
      <c r="B8" s="121">
        <v>71973</v>
      </c>
      <c r="C8" s="127">
        <v>201175</v>
      </c>
      <c r="D8" s="120">
        <v>8180395</v>
      </c>
      <c r="E8" s="127">
        <v>23350</v>
      </c>
      <c r="F8" s="127">
        <v>143956</v>
      </c>
      <c r="G8" s="126">
        <v>2335400</v>
      </c>
      <c r="H8" s="124">
        <f>115368+3210</f>
        <v>118578</v>
      </c>
      <c r="I8" s="123">
        <f>(115368*200)+(3210*400)</f>
        <v>24357600</v>
      </c>
      <c r="J8" s="122">
        <v>58831</v>
      </c>
      <c r="K8" s="122">
        <v>17649200</v>
      </c>
    </row>
    <row r="9" spans="1:15" x14ac:dyDescent="0.3">
      <c r="A9" s="99" t="s">
        <v>56</v>
      </c>
      <c r="B9" s="116">
        <v>74556</v>
      </c>
      <c r="C9" s="81">
        <v>209417</v>
      </c>
      <c r="D9" s="115">
        <v>8507525</v>
      </c>
      <c r="E9" s="81">
        <v>24070</v>
      </c>
      <c r="F9" s="81">
        <v>148303</v>
      </c>
      <c r="G9" s="125">
        <v>2409400</v>
      </c>
      <c r="H9" s="124">
        <f>163+95305+258+378+1+75+2</f>
        <v>96182</v>
      </c>
      <c r="I9" s="123">
        <f>(163*100)+(95305*200)+(258*300)+(378*400)+(1*500)+(75*600)+(2*800)</f>
        <v>19353000</v>
      </c>
      <c r="J9" s="122">
        <v>84915</v>
      </c>
      <c r="K9" s="122">
        <f>J9*300</f>
        <v>25474500</v>
      </c>
    </row>
    <row r="10" spans="1:15" x14ac:dyDescent="0.3">
      <c r="A10" s="99" t="s">
        <v>74</v>
      </c>
      <c r="B10" s="116">
        <v>76850</v>
      </c>
      <c r="C10" s="81">
        <v>216868</v>
      </c>
      <c r="D10" s="115">
        <v>8796630</v>
      </c>
      <c r="E10" s="81">
        <v>24655</v>
      </c>
      <c r="F10" s="81">
        <v>151902</v>
      </c>
      <c r="G10" s="114">
        <v>2467700</v>
      </c>
      <c r="H10" s="121">
        <f>30+86951+4+1385+268+134+28</f>
        <v>88800</v>
      </c>
      <c r="I10" s="120">
        <f>(30*100)+(86951*200)+(4*300)+(1385*400)+(268*600)+(134*800)+(28*1000)</f>
        <v>18244400</v>
      </c>
      <c r="J10" s="119">
        <v>0</v>
      </c>
      <c r="K10" s="118">
        <v>0</v>
      </c>
      <c r="L10" s="117"/>
    </row>
    <row r="11" spans="1:15" ht="19.350000000000001" customHeight="1" x14ac:dyDescent="0.3">
      <c r="A11" s="112" t="s">
        <v>73</v>
      </c>
      <c r="B11" s="116">
        <v>78642</v>
      </c>
      <c r="C11" s="81">
        <v>222753</v>
      </c>
      <c r="D11" s="115">
        <v>9024710</v>
      </c>
      <c r="E11" s="81">
        <v>25154</v>
      </c>
      <c r="F11" s="81">
        <v>154970</v>
      </c>
      <c r="G11" s="114">
        <v>2517000</v>
      </c>
      <c r="H11" s="109">
        <f>7+82328+109+153+32+3+1</f>
        <v>82633</v>
      </c>
      <c r="I11" s="113">
        <f>(7*100)+(82328*200)+(109*400)+(153*600)+(32*800)+(3*1000)+(1*1200)</f>
        <v>16631500</v>
      </c>
      <c r="J11" s="109">
        <v>531</v>
      </c>
      <c r="K11" s="108">
        <v>159300</v>
      </c>
    </row>
    <row r="12" spans="1:15" ht="19.350000000000001" customHeight="1" x14ac:dyDescent="0.3">
      <c r="A12" s="112" t="s">
        <v>16</v>
      </c>
      <c r="B12" s="109">
        <v>0</v>
      </c>
      <c r="C12" s="111">
        <v>0</v>
      </c>
      <c r="D12" s="111">
        <v>0</v>
      </c>
      <c r="E12" s="20">
        <v>0</v>
      </c>
      <c r="F12" s="20">
        <v>0</v>
      </c>
      <c r="G12" s="110">
        <v>0</v>
      </c>
      <c r="H12" s="109">
        <f>4+31924+28+15+5</f>
        <v>31976</v>
      </c>
      <c r="I12" s="106">
        <f>(4*100)+(31924*200)+(28*400)+(15*600)+(5*800)</f>
        <v>6409400</v>
      </c>
      <c r="J12" s="107">
        <v>0</v>
      </c>
      <c r="K12" s="81">
        <f>J12*300</f>
        <v>0</v>
      </c>
    </row>
    <row r="13" spans="1:15" ht="19.350000000000001" customHeight="1" x14ac:dyDescent="0.3">
      <c r="A13" s="231" t="s">
        <v>17</v>
      </c>
      <c r="B13" s="233">
        <v>0</v>
      </c>
      <c r="C13" s="201">
        <v>0</v>
      </c>
      <c r="D13" s="201">
        <v>0</v>
      </c>
      <c r="E13" s="201">
        <v>0</v>
      </c>
      <c r="F13" s="201">
        <v>0</v>
      </c>
      <c r="G13" s="209">
        <v>0</v>
      </c>
      <c r="H13" s="211">
        <f>1+8723+101+48+4+85+22+6</f>
        <v>8990</v>
      </c>
      <c r="I13" s="213">
        <f>(1*100)+(8723*200)+(101*400)+(48*600)+(4*700)+(85*800)+(22*1000)+(6*1200)</f>
        <v>1913900</v>
      </c>
      <c r="J13" s="109">
        <v>51</v>
      </c>
      <c r="K13" s="108">
        <v>15300</v>
      </c>
    </row>
    <row r="14" spans="1:15" ht="19.350000000000001" customHeight="1" thickBot="1" x14ac:dyDescent="0.35">
      <c r="A14" s="232"/>
      <c r="B14" s="234"/>
      <c r="C14" s="202"/>
      <c r="D14" s="202"/>
      <c r="E14" s="202"/>
      <c r="F14" s="202"/>
      <c r="G14" s="210"/>
      <c r="H14" s="212"/>
      <c r="I14" s="214"/>
      <c r="J14" s="107">
        <f>120408</f>
        <v>120408</v>
      </c>
      <c r="K14" s="106">
        <f>36122400</f>
        <v>36122400</v>
      </c>
    </row>
    <row r="15" spans="1:15" x14ac:dyDescent="0.3">
      <c r="B15" s="96">
        <f t="shared" ref="B15:G15" si="0">SUM(B6:B13)</f>
        <v>442613</v>
      </c>
      <c r="C15" s="96">
        <f t="shared" si="0"/>
        <v>1241505</v>
      </c>
      <c r="D15" s="95">
        <f>SUM(D6:D13)</f>
        <v>50451335</v>
      </c>
      <c r="E15" s="95">
        <f t="shared" si="0"/>
        <v>142776</v>
      </c>
      <c r="F15" s="95">
        <f t="shared" si="0"/>
        <v>880125</v>
      </c>
      <c r="G15" s="95">
        <f t="shared" si="0"/>
        <v>14285600</v>
      </c>
      <c r="H15" s="94">
        <v>0</v>
      </c>
      <c r="I15" s="93">
        <f>SUM(I6:I14)</f>
        <v>131237800</v>
      </c>
      <c r="J15" s="92">
        <f>SUM(J6:J14)</f>
        <v>369275</v>
      </c>
      <c r="K15" s="91">
        <f>SUM(K6:K14)</f>
        <v>110782400</v>
      </c>
    </row>
    <row r="16" spans="1:15" x14ac:dyDescent="0.3">
      <c r="B16" s="96"/>
      <c r="C16" s="96"/>
      <c r="D16" s="95"/>
      <c r="E16" s="95"/>
      <c r="F16" s="95"/>
      <c r="G16" s="95"/>
      <c r="H16" s="94"/>
      <c r="I16" s="93"/>
      <c r="J16" s="92"/>
      <c r="K16" s="91"/>
    </row>
    <row r="17" spans="1:14" x14ac:dyDescent="0.3">
      <c r="B17" s="96">
        <f>D15+G15+I15+K15</f>
        <v>306757135</v>
      </c>
      <c r="C17" s="96" t="s">
        <v>82</v>
      </c>
      <c r="D17" s="95">
        <f>D15+G7+G8+G9+I6+I7+I8+I9+I10+I12+I13+K14+K6+K7+K8+K9+G6</f>
        <v>284966335</v>
      </c>
      <c r="E17" s="95" t="s">
        <v>41</v>
      </c>
      <c r="F17" s="95">
        <f>G10+G11+I11+K11+K13</f>
        <v>21790800</v>
      </c>
      <c r="G17" s="95"/>
      <c r="H17" s="139">
        <f>D17/B17</f>
        <v>0.92896399948447816</v>
      </c>
      <c r="I17" s="140"/>
      <c r="J17" s="92"/>
      <c r="K17" s="91"/>
    </row>
    <row r="18" spans="1:14" x14ac:dyDescent="0.3">
      <c r="A18" s="226">
        <v>2021</v>
      </c>
      <c r="B18" s="226"/>
      <c r="C18" s="226"/>
      <c r="D18" s="226"/>
      <c r="E18" s="226"/>
      <c r="F18" s="226"/>
      <c r="G18" s="226"/>
      <c r="H18" s="226"/>
      <c r="I18" s="226"/>
      <c r="J18" s="226"/>
      <c r="K18" s="226"/>
    </row>
    <row r="19" spans="1:14" x14ac:dyDescent="0.3">
      <c r="A19" s="105"/>
      <c r="B19" s="199" t="s">
        <v>72</v>
      </c>
      <c r="C19" s="199"/>
      <c r="D19" s="199"/>
      <c r="E19" s="199"/>
      <c r="F19" s="199"/>
      <c r="G19" s="199"/>
      <c r="H19" s="199"/>
      <c r="I19" s="199"/>
      <c r="J19" s="200"/>
      <c r="K19" s="199" t="s">
        <v>71</v>
      </c>
      <c r="L19" s="199"/>
      <c r="M19" s="199"/>
      <c r="N19" s="199"/>
    </row>
    <row r="20" spans="1:14" ht="37.5" customHeight="1" x14ac:dyDescent="0.3">
      <c r="A20" s="227" t="s">
        <v>70</v>
      </c>
      <c r="B20" s="244" t="s">
        <v>69</v>
      </c>
      <c r="C20" s="244"/>
      <c r="D20" s="244"/>
      <c r="E20" s="208" t="s">
        <v>68</v>
      </c>
      <c r="F20" s="208"/>
      <c r="G20" s="208"/>
      <c r="H20" s="205" t="s">
        <v>67</v>
      </c>
      <c r="I20" s="206"/>
      <c r="J20" s="207"/>
      <c r="K20" s="239" t="s">
        <v>66</v>
      </c>
      <c r="L20" s="229"/>
      <c r="M20" s="237" t="s">
        <v>65</v>
      </c>
      <c r="N20" s="238"/>
    </row>
    <row r="21" spans="1:14" x14ac:dyDescent="0.3">
      <c r="A21" s="228"/>
      <c r="B21" s="103" t="s">
        <v>23</v>
      </c>
      <c r="C21" s="101" t="s">
        <v>64</v>
      </c>
      <c r="D21" s="101" t="s">
        <v>62</v>
      </c>
      <c r="E21" s="102" t="s">
        <v>23</v>
      </c>
      <c r="F21" s="101" t="s">
        <v>64</v>
      </c>
      <c r="G21" s="101" t="s">
        <v>62</v>
      </c>
      <c r="H21" s="102" t="s">
        <v>23</v>
      </c>
      <c r="I21" s="101" t="s">
        <v>64</v>
      </c>
      <c r="J21" s="104" t="s">
        <v>62</v>
      </c>
      <c r="K21" s="103" t="s">
        <v>63</v>
      </c>
      <c r="L21" s="101" t="s">
        <v>62</v>
      </c>
      <c r="M21" s="102" t="s">
        <v>63</v>
      </c>
      <c r="N21" s="101" t="s">
        <v>62</v>
      </c>
    </row>
    <row r="22" spans="1:14" x14ac:dyDescent="0.3">
      <c r="A22" s="100" t="s">
        <v>21</v>
      </c>
      <c r="B22" s="98">
        <v>0</v>
      </c>
      <c r="C22" s="20">
        <v>0</v>
      </c>
      <c r="D22" s="20">
        <v>0</v>
      </c>
      <c r="E22" s="20">
        <v>78642</v>
      </c>
      <c r="F22" s="20">
        <v>222753</v>
      </c>
      <c r="G22" s="20">
        <v>9371915</v>
      </c>
      <c r="H22" s="20">
        <v>25154</v>
      </c>
      <c r="I22" s="20">
        <v>154970</v>
      </c>
      <c r="J22" s="21">
        <v>2542700</v>
      </c>
      <c r="K22" s="98">
        <v>0</v>
      </c>
      <c r="L22" s="20">
        <v>0</v>
      </c>
      <c r="M22" s="20">
        <v>0</v>
      </c>
      <c r="N22" s="20">
        <v>0</v>
      </c>
    </row>
    <row r="23" spans="1:14" ht="15" customHeight="1" x14ac:dyDescent="0.3">
      <c r="A23" s="99" t="s">
        <v>22</v>
      </c>
      <c r="B23" s="98">
        <v>0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1">
        <v>0</v>
      </c>
      <c r="K23" s="98">
        <v>0</v>
      </c>
      <c r="L23" s="20">
        <v>0</v>
      </c>
      <c r="M23" s="20">
        <v>0</v>
      </c>
      <c r="N23" s="20">
        <v>0</v>
      </c>
    </row>
    <row r="24" spans="1:14" x14ac:dyDescent="0.3">
      <c r="A24" s="100" t="s">
        <v>61</v>
      </c>
      <c r="B24" s="98">
        <v>0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1">
        <v>0</v>
      </c>
      <c r="K24" s="98">
        <v>0</v>
      </c>
      <c r="L24" s="20">
        <v>0</v>
      </c>
      <c r="M24" s="20">
        <v>0</v>
      </c>
      <c r="N24" s="20">
        <v>0</v>
      </c>
    </row>
    <row r="25" spans="1:14" x14ac:dyDescent="0.3">
      <c r="A25" s="99" t="s">
        <v>60</v>
      </c>
      <c r="B25" s="98">
        <v>0</v>
      </c>
      <c r="C25" s="20">
        <v>0</v>
      </c>
      <c r="D25" s="20">
        <v>0</v>
      </c>
      <c r="E25" s="20">
        <v>0</v>
      </c>
      <c r="F25" s="20">
        <v>0</v>
      </c>
      <c r="G25" s="20">
        <v>0</v>
      </c>
      <c r="H25" s="20">
        <v>0</v>
      </c>
      <c r="I25" s="20">
        <v>0</v>
      </c>
      <c r="J25" s="21">
        <v>0</v>
      </c>
      <c r="K25" s="98">
        <v>0</v>
      </c>
      <c r="L25" s="20">
        <v>0</v>
      </c>
      <c r="M25" s="20">
        <v>0</v>
      </c>
      <c r="N25" s="20">
        <v>0</v>
      </c>
    </row>
    <row r="26" spans="1:14" ht="15" customHeight="1" x14ac:dyDescent="0.3">
      <c r="A26" s="100" t="s">
        <v>59</v>
      </c>
      <c r="B26" s="98">
        <v>0</v>
      </c>
      <c r="C26" s="20">
        <v>0</v>
      </c>
      <c r="D26" s="20">
        <v>0</v>
      </c>
      <c r="E26" s="20">
        <v>0</v>
      </c>
      <c r="F26" s="20">
        <v>0</v>
      </c>
      <c r="G26" s="20">
        <v>0</v>
      </c>
      <c r="H26" s="20">
        <v>0</v>
      </c>
      <c r="I26" s="20">
        <v>0</v>
      </c>
      <c r="J26" s="21">
        <v>0</v>
      </c>
      <c r="K26" s="98">
        <v>0</v>
      </c>
      <c r="L26" s="20">
        <v>0</v>
      </c>
      <c r="M26" s="20">
        <v>0</v>
      </c>
      <c r="N26" s="20">
        <v>0</v>
      </c>
    </row>
    <row r="27" spans="1:14" ht="18.75" customHeight="1" x14ac:dyDescent="0.3">
      <c r="A27" s="99" t="s">
        <v>58</v>
      </c>
      <c r="B27" s="98">
        <v>0</v>
      </c>
      <c r="C27" s="20">
        <v>0</v>
      </c>
      <c r="D27" s="20">
        <v>0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  <c r="J27" s="21">
        <v>0</v>
      </c>
      <c r="K27" s="98">
        <v>0</v>
      </c>
      <c r="L27" s="20">
        <v>0</v>
      </c>
      <c r="M27" s="20">
        <v>0</v>
      </c>
      <c r="N27" s="20">
        <v>0</v>
      </c>
    </row>
    <row r="28" spans="1:14" ht="15" customHeight="1" x14ac:dyDescent="0.3">
      <c r="A28" s="100" t="s">
        <v>57</v>
      </c>
      <c r="B28" s="98">
        <v>0</v>
      </c>
      <c r="C28" s="20">
        <v>0</v>
      </c>
      <c r="D28" s="20">
        <v>0</v>
      </c>
      <c r="E28" s="20">
        <v>0</v>
      </c>
      <c r="F28" s="20">
        <v>0</v>
      </c>
      <c r="G28" s="20">
        <v>0</v>
      </c>
      <c r="H28" s="20">
        <v>0</v>
      </c>
      <c r="I28" s="20">
        <v>0</v>
      </c>
      <c r="J28" s="21">
        <v>0</v>
      </c>
      <c r="K28" s="98">
        <v>0</v>
      </c>
      <c r="L28" s="20">
        <v>0</v>
      </c>
      <c r="M28" s="20">
        <v>0</v>
      </c>
      <c r="N28" s="20">
        <v>0</v>
      </c>
    </row>
    <row r="29" spans="1:14" x14ac:dyDescent="0.3">
      <c r="A29" s="99" t="s">
        <v>56</v>
      </c>
      <c r="B29" s="98">
        <v>0</v>
      </c>
      <c r="C29" s="20">
        <v>0</v>
      </c>
      <c r="D29" s="20">
        <v>0</v>
      </c>
      <c r="E29" s="20">
        <v>0</v>
      </c>
      <c r="F29" s="20">
        <v>0</v>
      </c>
      <c r="G29" s="20">
        <v>0</v>
      </c>
      <c r="H29" s="20">
        <v>0</v>
      </c>
      <c r="I29" s="20">
        <v>0</v>
      </c>
      <c r="J29" s="21">
        <v>0</v>
      </c>
      <c r="K29" s="98">
        <v>0</v>
      </c>
      <c r="L29" s="20">
        <v>0</v>
      </c>
      <c r="M29" s="20">
        <v>0</v>
      </c>
      <c r="N29" s="20">
        <v>0</v>
      </c>
    </row>
    <row r="30" spans="1:14" x14ac:dyDescent="0.3">
      <c r="B30" s="96">
        <f t="shared" ref="B30:N30" si="1">SUM(B22:B29)</f>
        <v>0</v>
      </c>
      <c r="C30" s="96">
        <f t="shared" si="1"/>
        <v>0</v>
      </c>
      <c r="D30" s="95">
        <f t="shared" si="1"/>
        <v>0</v>
      </c>
      <c r="E30" s="95">
        <f t="shared" si="1"/>
        <v>78642</v>
      </c>
      <c r="F30" s="95">
        <f t="shared" si="1"/>
        <v>222753</v>
      </c>
      <c r="G30" s="95">
        <f t="shared" si="1"/>
        <v>9371915</v>
      </c>
      <c r="H30" s="95">
        <f t="shared" si="1"/>
        <v>25154</v>
      </c>
      <c r="I30" s="95">
        <f t="shared" si="1"/>
        <v>154970</v>
      </c>
      <c r="J30" s="95">
        <f t="shared" si="1"/>
        <v>2542700</v>
      </c>
      <c r="K30" s="91">
        <f t="shared" si="1"/>
        <v>0</v>
      </c>
      <c r="L30" s="97">
        <f t="shared" si="1"/>
        <v>0</v>
      </c>
      <c r="M30" s="97">
        <f t="shared" si="1"/>
        <v>0</v>
      </c>
      <c r="N30" s="97">
        <f t="shared" si="1"/>
        <v>0</v>
      </c>
    </row>
    <row r="31" spans="1:14" x14ac:dyDescent="0.3">
      <c r="B31" s="96"/>
      <c r="C31" s="96"/>
      <c r="D31" s="95"/>
      <c r="E31" s="95"/>
      <c r="F31" s="95"/>
      <c r="G31" s="95"/>
      <c r="H31" s="94"/>
      <c r="I31" s="93"/>
      <c r="J31" s="92"/>
      <c r="K31" s="91"/>
    </row>
    <row r="32" spans="1:14" x14ac:dyDescent="0.3">
      <c r="B32"/>
      <c r="G32" s="1"/>
      <c r="I32" s="90"/>
    </row>
    <row r="33" spans="1:22" ht="15" thickBot="1" x14ac:dyDescent="0.35">
      <c r="A33" s="89" t="s">
        <v>55</v>
      </c>
      <c r="B33" s="89"/>
      <c r="C33" s="61"/>
      <c r="D33" s="61"/>
      <c r="E33" s="61"/>
      <c r="F33" s="61"/>
      <c r="G33" s="61"/>
      <c r="H33" s="61"/>
      <c r="I33" s="61"/>
      <c r="J33" s="61"/>
      <c r="K33" s="62"/>
      <c r="L33" s="61"/>
    </row>
    <row r="34" spans="1:22" x14ac:dyDescent="0.3">
      <c r="A34" s="216" t="s">
        <v>54</v>
      </c>
      <c r="B34" s="220" t="s">
        <v>53</v>
      </c>
      <c r="C34" s="221"/>
      <c r="D34" s="222" t="s">
        <v>52</v>
      </c>
      <c r="E34" s="221"/>
      <c r="F34" s="223" t="s">
        <v>51</v>
      </c>
      <c r="G34" s="224"/>
      <c r="H34" s="225" t="s">
        <v>50</v>
      </c>
      <c r="I34" s="224"/>
      <c r="J34" s="218" t="s">
        <v>49</v>
      </c>
      <c r="K34" s="219"/>
      <c r="L34" s="240" t="s">
        <v>48</v>
      </c>
      <c r="M34" s="241"/>
      <c r="N34" s="242" t="s">
        <v>47</v>
      </c>
      <c r="O34" s="243"/>
    </row>
    <row r="35" spans="1:22" x14ac:dyDescent="0.3">
      <c r="A35" s="217"/>
      <c r="B35" s="88" t="s">
        <v>29</v>
      </c>
      <c r="C35" s="86" t="s">
        <v>30</v>
      </c>
      <c r="D35" s="85" t="s">
        <v>29</v>
      </c>
      <c r="E35" s="86" t="s">
        <v>30</v>
      </c>
      <c r="F35" s="87" t="s">
        <v>29</v>
      </c>
      <c r="G35" s="86" t="s">
        <v>30</v>
      </c>
      <c r="H35" s="85" t="s">
        <v>29</v>
      </c>
      <c r="I35" s="86" t="s">
        <v>30</v>
      </c>
      <c r="J35" s="87" t="s">
        <v>29</v>
      </c>
      <c r="K35" s="86" t="s">
        <v>30</v>
      </c>
      <c r="L35" s="87" t="s">
        <v>29</v>
      </c>
      <c r="M35" s="86" t="s">
        <v>30</v>
      </c>
      <c r="N35" s="85" t="s">
        <v>29</v>
      </c>
      <c r="O35" s="84" t="s">
        <v>30</v>
      </c>
    </row>
    <row r="36" spans="1:22" x14ac:dyDescent="0.3">
      <c r="A36" s="83" t="s">
        <v>46</v>
      </c>
      <c r="B36" s="81">
        <v>43860000</v>
      </c>
      <c r="C36" s="80">
        <v>0</v>
      </c>
      <c r="D36" s="79">
        <f>B36*C49</f>
        <v>171054000</v>
      </c>
      <c r="E36" s="80">
        <v>0</v>
      </c>
      <c r="F36" s="78">
        <v>19463155.899999999</v>
      </c>
      <c r="G36" s="80">
        <v>0</v>
      </c>
      <c r="H36" s="79">
        <v>77761743.75</v>
      </c>
      <c r="I36" s="76" t="s">
        <v>44</v>
      </c>
      <c r="J36" s="78">
        <f>42998450*45%</f>
        <v>19349302.5</v>
      </c>
      <c r="K36" s="76" t="s">
        <v>44</v>
      </c>
      <c r="L36" s="77">
        <f>B36-F36</f>
        <v>24396844.100000001</v>
      </c>
      <c r="M36" s="76" t="s">
        <v>44</v>
      </c>
      <c r="N36" s="75">
        <f>D36-H36</f>
        <v>93292256.25</v>
      </c>
      <c r="O36" s="74" t="s">
        <v>44</v>
      </c>
    </row>
    <row r="37" spans="1:22" x14ac:dyDescent="0.3">
      <c r="A37" s="82" t="s">
        <v>45</v>
      </c>
      <c r="B37" s="81">
        <v>54727880</v>
      </c>
      <c r="C37" s="80">
        <v>0</v>
      </c>
      <c r="D37" s="79">
        <f>B37*C49</f>
        <v>213438732</v>
      </c>
      <c r="E37" s="80">
        <v>0</v>
      </c>
      <c r="F37" s="78">
        <v>24189134.969999999</v>
      </c>
      <c r="G37" s="80">
        <v>0</v>
      </c>
      <c r="H37" s="79">
        <v>95042131.25</v>
      </c>
      <c r="I37" s="76" t="s">
        <v>44</v>
      </c>
      <c r="J37" s="78">
        <f>42998450*55%</f>
        <v>23649147.500000004</v>
      </c>
      <c r="K37" s="76" t="s">
        <v>44</v>
      </c>
      <c r="L37" s="77">
        <f>B37-F37</f>
        <v>30538745.030000001</v>
      </c>
      <c r="M37" s="76" t="s">
        <v>44</v>
      </c>
      <c r="N37" s="75">
        <f>D37-H37</f>
        <v>118396600.75</v>
      </c>
      <c r="O37" s="74" t="s">
        <v>44</v>
      </c>
    </row>
    <row r="38" spans="1:22" ht="15" thickBot="1" x14ac:dyDescent="0.35">
      <c r="A38" s="73" t="s">
        <v>43</v>
      </c>
      <c r="B38" s="72">
        <v>15000000</v>
      </c>
      <c r="C38" s="67">
        <v>5812042.4900000002</v>
      </c>
      <c r="D38" s="70">
        <f>B38*C49</f>
        <v>58500000</v>
      </c>
      <c r="E38" s="69">
        <f>C38*C49</f>
        <v>22666965.710999999</v>
      </c>
      <c r="F38" s="71">
        <v>0</v>
      </c>
      <c r="G38" s="69">
        <v>1253000</v>
      </c>
      <c r="H38" s="70"/>
      <c r="I38" s="69">
        <f>G10+G11</f>
        <v>4984700</v>
      </c>
      <c r="J38" s="68">
        <f>I11+K11+K13</f>
        <v>16806100</v>
      </c>
      <c r="K38" s="67">
        <v>0</v>
      </c>
      <c r="L38" s="66">
        <f>B38-F38</f>
        <v>15000000</v>
      </c>
      <c r="M38" s="65">
        <f>C38-G38</f>
        <v>4559042.49</v>
      </c>
      <c r="N38" s="64">
        <f>D38-H38</f>
        <v>58500000</v>
      </c>
      <c r="O38" s="63">
        <f>E38-I38</f>
        <v>17682265.710999999</v>
      </c>
      <c r="P38" s="61"/>
      <c r="Q38" s="61"/>
      <c r="R38" s="61"/>
      <c r="S38" s="61"/>
      <c r="T38" s="61"/>
      <c r="U38" s="62"/>
      <c r="V38" s="61"/>
    </row>
    <row r="39" spans="1:22" s="57" customFormat="1" ht="31.8" customHeight="1" x14ac:dyDescent="0.3">
      <c r="A39" s="60" t="s">
        <v>31</v>
      </c>
      <c r="B39" s="59">
        <f t="shared" ref="B39:N39" si="2">SUM(B36:B38)</f>
        <v>113587880</v>
      </c>
      <c r="C39" s="59">
        <f t="shared" si="2"/>
        <v>5812042.4900000002</v>
      </c>
      <c r="D39" s="58">
        <f t="shared" si="2"/>
        <v>442992732</v>
      </c>
      <c r="E39" s="58">
        <f t="shared" si="2"/>
        <v>22666965.710999999</v>
      </c>
      <c r="F39" s="59">
        <f t="shared" si="2"/>
        <v>43652290.869999997</v>
      </c>
      <c r="G39" s="59">
        <f t="shared" si="2"/>
        <v>1253000</v>
      </c>
      <c r="H39" s="58">
        <f t="shared" si="2"/>
        <v>172803875</v>
      </c>
      <c r="I39" s="58">
        <f t="shared" si="2"/>
        <v>4984700</v>
      </c>
      <c r="J39" s="58">
        <f t="shared" si="2"/>
        <v>59804550</v>
      </c>
      <c r="K39" s="58">
        <f t="shared" si="2"/>
        <v>0</v>
      </c>
      <c r="L39" s="59">
        <f t="shared" si="2"/>
        <v>69935589.129999995</v>
      </c>
      <c r="M39" s="59">
        <f t="shared" si="2"/>
        <v>4559042.49</v>
      </c>
      <c r="N39" s="58">
        <f t="shared" si="2"/>
        <v>270188857</v>
      </c>
      <c r="O39" s="58">
        <f>SUM(O38)</f>
        <v>17682265.710999999</v>
      </c>
    </row>
    <row r="40" spans="1:22" s="37" customFormat="1" ht="12" x14ac:dyDescent="0.25">
      <c r="A40" s="40"/>
      <c r="B40" s="39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235"/>
      <c r="O40" s="235"/>
    </row>
    <row r="41" spans="1:22" s="37" customFormat="1" ht="15.6" x14ac:dyDescent="0.3">
      <c r="A41" s="40"/>
      <c r="B41" s="236" t="s">
        <v>42</v>
      </c>
      <c r="C41" s="236"/>
      <c r="D41" s="236" t="s">
        <v>41</v>
      </c>
      <c r="E41" s="236"/>
      <c r="F41" s="236" t="s">
        <v>40</v>
      </c>
      <c r="G41" s="236"/>
      <c r="H41" s="38"/>
      <c r="I41" s="38"/>
      <c r="J41" s="38"/>
      <c r="K41" s="38"/>
      <c r="L41" s="38"/>
      <c r="M41" s="38"/>
      <c r="N41" s="38"/>
      <c r="O41" s="38"/>
    </row>
    <row r="42" spans="1:22" s="46" customFormat="1" ht="25.8" customHeight="1" x14ac:dyDescent="0.3">
      <c r="A42" s="53"/>
      <c r="B42" s="56" t="s">
        <v>39</v>
      </c>
      <c r="C42" s="54">
        <f>(D36+D37)-H36-H37</f>
        <v>211688857</v>
      </c>
      <c r="D42" s="55" t="s">
        <v>38</v>
      </c>
      <c r="E42" s="54">
        <f>(N38+O38)-J38</f>
        <v>59376165.710999995</v>
      </c>
      <c r="F42" s="55" t="s">
        <v>38</v>
      </c>
      <c r="G42" s="54">
        <f>(C44+N38+O38)-J38</f>
        <v>158819462.711</v>
      </c>
      <c r="H42" s="47"/>
      <c r="I42" s="47"/>
      <c r="J42" s="47"/>
      <c r="K42" s="47"/>
      <c r="L42" s="47"/>
      <c r="M42" s="47"/>
      <c r="N42" s="47"/>
      <c r="O42" s="47"/>
    </row>
    <row r="43" spans="1:22" s="46" customFormat="1" ht="43.2" x14ac:dyDescent="0.3">
      <c r="A43" s="53"/>
      <c r="B43" s="45" t="s">
        <v>37</v>
      </c>
      <c r="C43" s="52">
        <f>D7+D8+D9+D10+D11+G7+G8+G9+I12+I13+K14+I10</f>
        <v>112245560</v>
      </c>
      <c r="D43" s="51"/>
      <c r="E43" s="50"/>
      <c r="F43" s="49"/>
      <c r="G43" s="48"/>
      <c r="H43" s="47"/>
      <c r="I43" s="47"/>
      <c r="J43" s="47"/>
      <c r="K43" s="47"/>
      <c r="L43" s="47"/>
      <c r="M43" s="47"/>
      <c r="N43" s="47"/>
      <c r="O43" s="47"/>
    </row>
    <row r="44" spans="1:22" s="37" customFormat="1" ht="28.8" customHeight="1" x14ac:dyDescent="0.25">
      <c r="A44" s="40"/>
      <c r="B44" s="45" t="s">
        <v>36</v>
      </c>
      <c r="C44" s="44">
        <f>C42-C43</f>
        <v>99443297</v>
      </c>
      <c r="D44" s="43"/>
      <c r="E44" s="41"/>
      <c r="F44" s="42"/>
      <c r="G44" s="41"/>
      <c r="H44" s="38"/>
      <c r="I44" s="38"/>
      <c r="J44" s="38"/>
      <c r="K44" s="38"/>
      <c r="L44" s="38"/>
      <c r="M44" s="38"/>
      <c r="N44" s="38"/>
      <c r="O44" s="38"/>
    </row>
    <row r="45" spans="1:22" s="37" customFormat="1" ht="12" x14ac:dyDescent="0.25">
      <c r="A45" s="40"/>
      <c r="B45" s="39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</row>
    <row r="46" spans="1:22" x14ac:dyDescent="0.3">
      <c r="B46" s="36" t="s">
        <v>35</v>
      </c>
    </row>
    <row r="47" spans="1:22" x14ac:dyDescent="0.3">
      <c r="B47" s="35" t="s">
        <v>34</v>
      </c>
      <c r="D47" s="97"/>
      <c r="E47" s="97"/>
      <c r="F47" s="97"/>
      <c r="G47" s="97"/>
      <c r="H47" s="97"/>
    </row>
    <row r="48" spans="1:22" x14ac:dyDescent="0.3">
      <c r="B48" s="34" t="s">
        <v>33</v>
      </c>
      <c r="D48" s="29"/>
    </row>
    <row r="49" spans="2:5" x14ac:dyDescent="0.3">
      <c r="B49" s="33" t="s">
        <v>32</v>
      </c>
      <c r="C49" s="32">
        <v>3.9</v>
      </c>
    </row>
    <row r="50" spans="2:5" x14ac:dyDescent="0.3">
      <c r="D50" s="97"/>
      <c r="E50" s="97"/>
    </row>
    <row r="51" spans="2:5" x14ac:dyDescent="0.3">
      <c r="D51" s="97">
        <f>D50+E50</f>
        <v>0</v>
      </c>
    </row>
  </sheetData>
  <mergeCells count="39">
    <mergeCell ref="N40:O40"/>
    <mergeCell ref="B41:C41"/>
    <mergeCell ref="D41:E41"/>
    <mergeCell ref="F41:G41"/>
    <mergeCell ref="M20:N20"/>
    <mergeCell ref="H20:J20"/>
    <mergeCell ref="K20:L20"/>
    <mergeCell ref="L34:M34"/>
    <mergeCell ref="N34:O34"/>
    <mergeCell ref="B20:D20"/>
    <mergeCell ref="A1:O1"/>
    <mergeCell ref="A34:A35"/>
    <mergeCell ref="J34:K34"/>
    <mergeCell ref="B34:C34"/>
    <mergeCell ref="D34:E34"/>
    <mergeCell ref="F34:G34"/>
    <mergeCell ref="H34:I34"/>
    <mergeCell ref="A2:K2"/>
    <mergeCell ref="A18:K18"/>
    <mergeCell ref="A20:A21"/>
    <mergeCell ref="A4:A5"/>
    <mergeCell ref="H4:I4"/>
    <mergeCell ref="A13:A14"/>
    <mergeCell ref="B13:B14"/>
    <mergeCell ref="C13:C14"/>
    <mergeCell ref="E20:G20"/>
    <mergeCell ref="K19:N19"/>
    <mergeCell ref="B19:J19"/>
    <mergeCell ref="B3:G3"/>
    <mergeCell ref="H3:K3"/>
    <mergeCell ref="D13:D14"/>
    <mergeCell ref="E13:E14"/>
    <mergeCell ref="J4:K4"/>
    <mergeCell ref="E4:G4"/>
    <mergeCell ref="B4:D4"/>
    <mergeCell ref="F13:F14"/>
    <mergeCell ref="G13:G14"/>
    <mergeCell ref="H13:H14"/>
    <mergeCell ref="I13:I14"/>
  </mergeCells>
  <pageMargins left="0.25" right="0.25" top="0.75" bottom="0.75" header="0.3" footer="0.3"/>
  <pageSetup paperSize="9" scale="57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Projection</vt:lpstr>
      <vt:lpstr>Indicators</vt:lpstr>
      <vt:lpstr> COVID STATISTICS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2021-02-22T13:29:41Z</dcterms:modified>
</cp:coreProperties>
</file>